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Owner\Documents\"/>
    </mc:Choice>
  </mc:AlternateContent>
  <xr:revisionPtr revIDLastSave="0" documentId="13_ncr:1_{7B37088B-8A7D-4F30-A14A-B4FF5B1373E3}" xr6:coauthVersionLast="47" xr6:coauthVersionMax="47" xr10:uidLastSave="{00000000-0000-0000-0000-000000000000}"/>
  <bookViews>
    <workbookView xWindow="-108" yWindow="-108" windowWidth="23256" windowHeight="12456" xr2:uid="{7991DE81-4538-4DCA-B95A-E855C89F6B28}"/>
  </bookViews>
  <sheets>
    <sheet name="IS Projections" sheetId="13" r:id="rId1"/>
    <sheet name="Valuation" sheetId="15" r:id="rId2"/>
    <sheet name="Comp Analysis" sheetId="16" r:id="rId3"/>
    <sheet name="Balance Sheet" sheetId="2" r:id="rId4"/>
    <sheet name="Cash Flow" sheetId="3" r:id="rId5"/>
  </sheets>
  <definedNames>
    <definedName name="_xlnm.Print_Titles" localSheetId="3">'Balance Sheet'!#REF!</definedName>
    <definedName name="_xlnm.Print_Titles" localSheetId="4">'Cash Flow'!#REF!</definedName>
    <definedName name="_xlnm.Print_Titles" localSheetId="0">'IS Projections'!#REF!</definedName>
    <definedName name="_xlnm.Print_Titles" localSheetId="1">Valuation!$34:$36</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6" l="1"/>
  <c r="C53" i="16" s="1"/>
  <c r="C64" i="16"/>
  <c r="I77" i="16"/>
  <c r="H74" i="16"/>
  <c r="D74" i="16"/>
  <c r="H73" i="16"/>
  <c r="D73" i="16"/>
  <c r="H72" i="16"/>
  <c r="D72" i="16"/>
  <c r="J64" i="16"/>
  <c r="E64" i="16"/>
  <c r="D64" i="16"/>
  <c r="J60" i="16"/>
  <c r="E60" i="16"/>
  <c r="D60" i="16"/>
  <c r="C60" i="16"/>
  <c r="J54" i="16"/>
  <c r="E54" i="16"/>
  <c r="D54" i="16"/>
  <c r="C54" i="16"/>
  <c r="J52" i="16"/>
  <c r="E52" i="16"/>
  <c r="D52" i="16"/>
  <c r="C52" i="16"/>
  <c r="H52" i="16" s="1"/>
  <c r="J51" i="16"/>
  <c r="E51" i="16"/>
  <c r="D51" i="16"/>
  <c r="C51" i="16"/>
  <c r="H51" i="16" s="1"/>
  <c r="J30" i="16"/>
  <c r="E30" i="16"/>
  <c r="D30" i="16"/>
  <c r="C30" i="16"/>
  <c r="J27" i="16"/>
  <c r="E27" i="16"/>
  <c r="D27" i="16"/>
  <c r="C27" i="16"/>
  <c r="J22" i="16"/>
  <c r="E22" i="16"/>
  <c r="D22" i="16"/>
  <c r="C22" i="16"/>
  <c r="J16" i="16"/>
  <c r="J53" i="16" s="1"/>
  <c r="E16" i="16"/>
  <c r="E53" i="16" s="1"/>
  <c r="D16" i="16"/>
  <c r="D53" i="16" s="1"/>
  <c r="J10" i="16"/>
  <c r="J17" i="16" s="1"/>
  <c r="E10" i="16"/>
  <c r="E17" i="16" s="1"/>
  <c r="D10" i="16"/>
  <c r="D17" i="16" s="1"/>
  <c r="C10" i="16"/>
  <c r="C66" i="16" s="1"/>
  <c r="D51" i="13"/>
  <c r="E51" i="13"/>
  <c r="F51" i="13"/>
  <c r="G51" i="13"/>
  <c r="C51" i="13"/>
  <c r="D48" i="13"/>
  <c r="E48" i="13"/>
  <c r="F48" i="13"/>
  <c r="G48" i="13"/>
  <c r="C48" i="13"/>
  <c r="D47" i="13"/>
  <c r="E47" i="13"/>
  <c r="F47" i="13"/>
  <c r="G47" i="13"/>
  <c r="C47" i="13"/>
  <c r="D46" i="13"/>
  <c r="E46" i="13"/>
  <c r="F46" i="13"/>
  <c r="G46" i="13"/>
  <c r="C46" i="13"/>
  <c r="D45" i="13"/>
  <c r="E45" i="13"/>
  <c r="F45" i="13"/>
  <c r="G45" i="13"/>
  <c r="C45" i="13"/>
  <c r="D9" i="15"/>
  <c r="E9" i="15"/>
  <c r="G9" i="15"/>
  <c r="E36" i="15"/>
  <c r="E37" i="15"/>
  <c r="E38" i="15"/>
  <c r="F36" i="15"/>
  <c r="G41" i="15"/>
  <c r="G44" i="15"/>
  <c r="G43" i="15"/>
  <c r="G46" i="15"/>
  <c r="G55" i="15"/>
  <c r="G57" i="15"/>
  <c r="G37" i="15"/>
  <c r="G52" i="15"/>
  <c r="D59" i="3"/>
  <c r="E59" i="3"/>
  <c r="F59" i="3"/>
  <c r="C59" i="3"/>
  <c r="D60" i="3"/>
  <c r="E60" i="3"/>
  <c r="F60" i="3"/>
  <c r="G60" i="3"/>
  <c r="C60" i="3"/>
  <c r="H31" i="13"/>
  <c r="I31" i="13" s="1"/>
  <c r="H33" i="13"/>
  <c r="I33" i="13" s="1"/>
  <c r="J33" i="13" s="1"/>
  <c r="K33" i="13" s="1"/>
  <c r="L33" i="13" s="1"/>
  <c r="H35" i="13"/>
  <c r="I35" i="13" s="1"/>
  <c r="J35" i="13" s="1"/>
  <c r="K35" i="13" s="1"/>
  <c r="L35" i="13" s="1"/>
  <c r="H37" i="13"/>
  <c r="I37" i="13" s="1"/>
  <c r="J37" i="13" s="1"/>
  <c r="K37" i="13" s="1"/>
  <c r="L37" i="13" s="1"/>
  <c r="H41" i="13"/>
  <c r="H6" i="13"/>
  <c r="C9" i="15" s="1"/>
  <c r="C17" i="15" s="1"/>
  <c r="H7" i="13"/>
  <c r="H8" i="13"/>
  <c r="H10" i="13"/>
  <c r="H11" i="13"/>
  <c r="H14" i="13"/>
  <c r="H16" i="13"/>
  <c r="H17" i="13"/>
  <c r="H19" i="13"/>
  <c r="H21" i="13" s="1"/>
  <c r="G8" i="13"/>
  <c r="G14" i="13" s="1"/>
  <c r="G19" i="13" s="1"/>
  <c r="G23" i="13" s="1"/>
  <c r="G54" i="13" s="1"/>
  <c r="F8" i="13"/>
  <c r="F14" i="13"/>
  <c r="F19" i="13"/>
  <c r="F23" i="13"/>
  <c r="F54" i="13" s="1"/>
  <c r="E8" i="13"/>
  <c r="E14" i="13"/>
  <c r="E19" i="13"/>
  <c r="E23" i="13"/>
  <c r="E54" i="13" s="1"/>
  <c r="D8" i="13"/>
  <c r="D14" i="13"/>
  <c r="D19" i="13"/>
  <c r="D23" i="13" s="1"/>
  <c r="D54" i="13" s="1"/>
  <c r="C8" i="13"/>
  <c r="C14" i="13" s="1"/>
  <c r="C19" i="13" s="1"/>
  <c r="C23" i="13" s="1"/>
  <c r="C54" i="13" s="1"/>
  <c r="G79" i="2"/>
  <c r="G80" i="2"/>
  <c r="G81" i="2"/>
  <c r="G82" i="2"/>
  <c r="G83" i="2"/>
  <c r="G84" i="2"/>
  <c r="G85" i="2"/>
  <c r="G86" i="2"/>
  <c r="G87" i="2"/>
  <c r="C79" i="2"/>
  <c r="C80" i="2"/>
  <c r="C81" i="2"/>
  <c r="C82" i="2"/>
  <c r="C83" i="2"/>
  <c r="C84" i="2"/>
  <c r="C85" i="2"/>
  <c r="C86" i="2"/>
  <c r="C87" i="2"/>
  <c r="C90" i="2" s="1"/>
  <c r="D79" i="2"/>
  <c r="D80" i="2"/>
  <c r="D81" i="2"/>
  <c r="D82" i="2"/>
  <c r="D83" i="2"/>
  <c r="D84" i="2"/>
  <c r="D85" i="2"/>
  <c r="D86" i="2"/>
  <c r="D87" i="2"/>
  <c r="F79" i="2"/>
  <c r="F80" i="2"/>
  <c r="F81" i="2"/>
  <c r="F82" i="2"/>
  <c r="F83" i="2"/>
  <c r="F84" i="2"/>
  <c r="F85" i="2"/>
  <c r="F86" i="2"/>
  <c r="F87" i="2"/>
  <c r="E79" i="2"/>
  <c r="E80" i="2"/>
  <c r="E81" i="2"/>
  <c r="E82" i="2"/>
  <c r="E83" i="2"/>
  <c r="E84" i="2"/>
  <c r="E85" i="2"/>
  <c r="E86" i="2"/>
  <c r="E87" i="2"/>
  <c r="G12" i="2"/>
  <c r="G21" i="2"/>
  <c r="F12" i="2"/>
  <c r="F21" i="2"/>
  <c r="E12" i="2"/>
  <c r="E21" i="2"/>
  <c r="D12" i="2"/>
  <c r="D21" i="2"/>
  <c r="C12" i="2"/>
  <c r="C21" i="2"/>
  <c r="G41" i="13"/>
  <c r="H42" i="13"/>
  <c r="F41" i="13"/>
  <c r="E41" i="13"/>
  <c r="G40" i="13"/>
  <c r="F40" i="13"/>
  <c r="G34" i="13"/>
  <c r="F34" i="13"/>
  <c r="G38" i="13"/>
  <c r="F38" i="13"/>
  <c r="F36" i="13"/>
  <c r="G36" i="13"/>
  <c r="G32" i="13"/>
  <c r="F32" i="13"/>
  <c r="C17" i="16" l="1"/>
  <c r="F37" i="15"/>
  <c r="F38" i="15" s="1"/>
  <c r="G47" i="15"/>
  <c r="G30" i="15" s="1"/>
  <c r="F42" i="13"/>
  <c r="G42" i="13"/>
  <c r="I41" i="13"/>
  <c r="H23" i="13"/>
  <c r="C5" i="15" s="1"/>
  <c r="I6" i="13"/>
  <c r="I42" i="13"/>
  <c r="C8" i="15"/>
  <c r="D17" i="15"/>
  <c r="D8" i="15" s="1"/>
  <c r="C6" i="15"/>
  <c r="C7" i="15" s="1"/>
  <c r="J31" i="13"/>
  <c r="H86" i="2"/>
  <c r="C10" i="15" s="1"/>
  <c r="I86" i="2"/>
  <c r="D10" i="15" s="1"/>
  <c r="F9" i="15"/>
  <c r="G27" i="16"/>
  <c r="H54" i="16"/>
  <c r="J47" i="16"/>
  <c r="J48" i="16"/>
  <c r="D66" i="16"/>
  <c r="D67" i="16" s="1"/>
  <c r="D68" i="16" s="1"/>
  <c r="E66" i="16"/>
  <c r="E67" i="16" s="1"/>
  <c r="E68" i="16" s="1"/>
  <c r="J66" i="16"/>
  <c r="J67" i="16" s="1"/>
  <c r="G30" i="16"/>
  <c r="J68" i="16"/>
  <c r="H30" i="16"/>
  <c r="C46" i="16"/>
  <c r="D46" i="16"/>
  <c r="G46" i="16" s="1"/>
  <c r="D47" i="16"/>
  <c r="H60" i="16"/>
  <c r="H22" i="16"/>
  <c r="E47" i="16"/>
  <c r="G54" i="16"/>
  <c r="F73" i="16"/>
  <c r="H27" i="16"/>
  <c r="H64" i="16"/>
  <c r="F74" i="16"/>
  <c r="H53" i="16"/>
  <c r="G53" i="16"/>
  <c r="C67" i="16"/>
  <c r="D42" i="16"/>
  <c r="D41" i="16"/>
  <c r="D43" i="16"/>
  <c r="D40" i="16"/>
  <c r="E41" i="16"/>
  <c r="E42" i="16"/>
  <c r="E43" i="16"/>
  <c r="E40" i="16"/>
  <c r="J41" i="16"/>
  <c r="J43" i="16"/>
  <c r="J40" i="16"/>
  <c r="J42" i="16"/>
  <c r="G22" i="16"/>
  <c r="G52" i="16"/>
  <c r="C48" i="16"/>
  <c r="D48" i="16"/>
  <c r="G60" i="16"/>
  <c r="E48" i="16"/>
  <c r="G64" i="16"/>
  <c r="J46" i="16"/>
  <c r="G51" i="16"/>
  <c r="C47" i="16"/>
  <c r="G48" i="15" l="1"/>
  <c r="G36" i="15" s="1"/>
  <c r="G38" i="15" s="1"/>
  <c r="F12" i="15" s="1"/>
  <c r="C11" i="15"/>
  <c r="E17" i="15"/>
  <c r="F17" i="15" s="1"/>
  <c r="J41" i="13"/>
  <c r="K31" i="13"/>
  <c r="I11" i="13"/>
  <c r="I16" i="13"/>
  <c r="I7" i="13"/>
  <c r="I8" i="13" s="1"/>
  <c r="I10" i="13"/>
  <c r="I17" i="13"/>
  <c r="C72" i="16"/>
  <c r="E72" i="16" s="1"/>
  <c r="G72" i="16" s="1"/>
  <c r="I72" i="16" s="1"/>
  <c r="G66" i="16"/>
  <c r="H66" i="16"/>
  <c r="H46" i="16"/>
  <c r="C12" i="15"/>
  <c r="C13" i="15" s="1"/>
  <c r="D12" i="15"/>
  <c r="E12" i="15"/>
  <c r="H47" i="16"/>
  <c r="G47" i="16"/>
  <c r="C42" i="16"/>
  <c r="C41" i="16"/>
  <c r="C43" i="16"/>
  <c r="C40" i="16"/>
  <c r="H48" i="16"/>
  <c r="G48" i="16"/>
  <c r="C68" i="16"/>
  <c r="H67" i="16"/>
  <c r="G67" i="16"/>
  <c r="E8" i="15" l="1"/>
  <c r="G12" i="15"/>
  <c r="I14" i="13"/>
  <c r="I19" i="13" s="1"/>
  <c r="I21" i="13"/>
  <c r="I23" i="13"/>
  <c r="D5" i="15" s="1"/>
  <c r="K41" i="13"/>
  <c r="L31" i="13"/>
  <c r="L41" i="13" s="1"/>
  <c r="J6" i="13"/>
  <c r="J42" i="13"/>
  <c r="F8" i="15"/>
  <c r="G17" i="15"/>
  <c r="G8" i="15" s="1"/>
  <c r="H68" i="16"/>
  <c r="G68" i="16"/>
  <c r="H40" i="16"/>
  <c r="C74" i="16" s="1"/>
  <c r="E74" i="16" s="1"/>
  <c r="G74" i="16" s="1"/>
  <c r="I74" i="16" s="1"/>
  <c r="G40" i="16"/>
  <c r="H43" i="16"/>
  <c r="G43" i="16"/>
  <c r="H41" i="16"/>
  <c r="C73" i="16" s="1"/>
  <c r="E73" i="16" s="1"/>
  <c r="G73" i="16" s="1"/>
  <c r="I73" i="16" s="1"/>
  <c r="G41" i="16"/>
  <c r="H42" i="16"/>
  <c r="G42" i="16"/>
  <c r="I76" i="16" l="1"/>
  <c r="J7" i="13"/>
  <c r="J8" i="13"/>
  <c r="J10" i="13"/>
  <c r="J11" i="13"/>
  <c r="J16" i="13"/>
  <c r="J17" i="13"/>
  <c r="J86" i="2"/>
  <c r="E10" i="15" s="1"/>
  <c r="L42" i="13"/>
  <c r="L6" i="13"/>
  <c r="K6" i="13"/>
  <c r="K42" i="13"/>
  <c r="D6" i="15"/>
  <c r="D7" i="15"/>
  <c r="D11" i="15" s="1"/>
  <c r="D13" i="15" s="1"/>
  <c r="I79" i="16"/>
  <c r="I78" i="16"/>
  <c r="L10" i="13" l="1"/>
  <c r="L11" i="13"/>
  <c r="L16" i="13"/>
  <c r="L17" i="13"/>
  <c r="L7" i="13"/>
  <c r="L8" i="13"/>
  <c r="L86" i="2"/>
  <c r="J14" i="13"/>
  <c r="J19" i="13" s="1"/>
  <c r="K7" i="13"/>
  <c r="K11" i="13"/>
  <c r="K16" i="13"/>
  <c r="K8" i="13"/>
  <c r="K10" i="13"/>
  <c r="K17" i="13"/>
  <c r="K86" i="2"/>
  <c r="F10" i="15" s="1"/>
  <c r="K14" i="13" l="1"/>
  <c r="K19" i="13" s="1"/>
  <c r="J21" i="13"/>
  <c r="J23" i="13"/>
  <c r="E5" i="15" s="1"/>
  <c r="G10" i="15"/>
  <c r="L14" i="13"/>
  <c r="L19" i="13" s="1"/>
  <c r="K21" i="13" l="1"/>
  <c r="K23" i="13"/>
  <c r="F5" i="15" s="1"/>
  <c r="L21" i="13"/>
  <c r="L23" i="13"/>
  <c r="G5" i="15" s="1"/>
  <c r="E6" i="15"/>
  <c r="E7" i="15"/>
  <c r="E11" i="15" s="1"/>
  <c r="E13" i="15" s="1"/>
  <c r="G6" i="15" l="1"/>
  <c r="G7" i="15" s="1"/>
  <c r="G11" i="15" s="1"/>
  <c r="F6" i="15"/>
  <c r="F7" i="15" s="1"/>
  <c r="F11" i="15" s="1"/>
  <c r="F13" i="15" s="1"/>
  <c r="G13" i="15" l="1"/>
  <c r="C14" i="15" s="1"/>
  <c r="G27" i="15" s="1"/>
  <c r="G21" i="15"/>
  <c r="G23" i="15" s="1"/>
  <c r="G24" i="15" s="1"/>
  <c r="G28" i="15" s="1"/>
  <c r="G29" i="15" l="1"/>
  <c r="G31" i="15" s="1"/>
  <c r="G32" i="15" s="1"/>
</calcChain>
</file>

<file path=xl/sharedStrings.xml><?xml version="1.0" encoding="utf-8"?>
<sst xmlns="http://schemas.openxmlformats.org/spreadsheetml/2006/main" count="506" uniqueCount="299">
  <si>
    <t>Income Statement</t>
  </si>
  <si>
    <t xml:space="preserve">For the Fiscal Period Ending
</t>
  </si>
  <si>
    <t>Currency</t>
  </si>
  <si>
    <t>USD</t>
  </si>
  <si>
    <t xml:space="preserve"> </t>
  </si>
  <si>
    <t>Revenue</t>
  </si>
  <si>
    <t>Other Revenue</t>
  </si>
  <si>
    <t>-</t>
  </si>
  <si>
    <t>Cost Of Goods Sold</t>
  </si>
  <si>
    <t xml:space="preserve">  Gross Profit</t>
  </si>
  <si>
    <t>Selling General &amp; Admin Exp.</t>
  </si>
  <si>
    <t>R &amp; D Exp.</t>
  </si>
  <si>
    <t>Depreciation &amp; Amort.</t>
  </si>
  <si>
    <t>Interest Expense</t>
  </si>
  <si>
    <t>Interest and Invest. Income</t>
  </si>
  <si>
    <t>Supplemental Items</t>
  </si>
  <si>
    <t>EBIT</t>
  </si>
  <si>
    <t>Filing Date</t>
  </si>
  <si>
    <t>Restatement Type</t>
  </si>
  <si>
    <t>NC</t>
  </si>
  <si>
    <t>O</t>
  </si>
  <si>
    <t>Calculation Type</t>
  </si>
  <si>
    <t>REP</t>
  </si>
  <si>
    <t xml:space="preserve">
               </t>
  </si>
  <si>
    <t>Balance Sheet</t>
  </si>
  <si>
    <t xml:space="preserve">Balance Sheet as of:
</t>
  </si>
  <si>
    <t>ASSETS</t>
  </si>
  <si>
    <t>Cash And Equivalents</t>
  </si>
  <si>
    <t>Short Term Investments</t>
  </si>
  <si>
    <t>Accounts Receivable</t>
  </si>
  <si>
    <t>Other Receivables</t>
  </si>
  <si>
    <t>Inventory</t>
  </si>
  <si>
    <t>Other Current Assets</t>
  </si>
  <si>
    <t xml:space="preserve">  Total Current Assets</t>
  </si>
  <si>
    <t>Long-term Investments</t>
  </si>
  <si>
    <t>Goodwill</t>
  </si>
  <si>
    <t>Other Intangibles</t>
  </si>
  <si>
    <t>Deferred Tax Assets, LT</t>
  </si>
  <si>
    <t>Other Long-Term Assets</t>
  </si>
  <si>
    <t>Total Assets</t>
  </si>
  <si>
    <t>LIABILITIES</t>
  </si>
  <si>
    <t>Accounts Payable</t>
  </si>
  <si>
    <t>Accrued Exp.</t>
  </si>
  <si>
    <t>Curr. Port. of LT Debt</t>
  </si>
  <si>
    <t>Curr. Port. of Leases</t>
  </si>
  <si>
    <t>Curr. Income Taxes Payable</t>
  </si>
  <si>
    <t>Unearned Revenue, Current</t>
  </si>
  <si>
    <t>Other Current Liabilities</t>
  </si>
  <si>
    <t xml:space="preserve">  Total Current Liabilities</t>
  </si>
  <si>
    <t>Long-Term Debt</t>
  </si>
  <si>
    <t>Long-Term Leases</t>
  </si>
  <si>
    <t>Unearned Revenue, Non-Current</t>
  </si>
  <si>
    <t>Def. Tax Liability, Non-Curr.</t>
  </si>
  <si>
    <t>Other Non-Current Liabilities</t>
  </si>
  <si>
    <t>Total Liabilities</t>
  </si>
  <si>
    <t>Common Stock</t>
  </si>
  <si>
    <t>Additional Paid In Capital</t>
  </si>
  <si>
    <t>Retained Earnings</t>
  </si>
  <si>
    <t>Treasury Stock</t>
  </si>
  <si>
    <t>Comprehensive Inc. and Other</t>
  </si>
  <si>
    <t xml:space="preserve">  Total Common Equity</t>
  </si>
  <si>
    <t>Total Equity</t>
  </si>
  <si>
    <t>Total Liabilities And Equity</t>
  </si>
  <si>
    <t>Total Shares Out. on Filing Date</t>
  </si>
  <si>
    <t>Total Shares Out. on Balance Sheet Date</t>
  </si>
  <si>
    <t>Book Value/Share</t>
  </si>
  <si>
    <t>Tangible Book Value</t>
  </si>
  <si>
    <t>Tangible Book Value/Share</t>
  </si>
  <si>
    <t>Total Debt</t>
  </si>
  <si>
    <t>Net Debt</t>
  </si>
  <si>
    <t>Debt Equiv. of Unfunded Proj. Benefit Obligation</t>
  </si>
  <si>
    <t>Debt Equivalent Oper. Leases</t>
  </si>
  <si>
    <t>Inventory Method</t>
  </si>
  <si>
    <t>Avg Cost</t>
  </si>
  <si>
    <t>FIFO</t>
  </si>
  <si>
    <t>Raw Materials Inventory</t>
  </si>
  <si>
    <t>Work in Progress Inventory</t>
  </si>
  <si>
    <t>Finished Goods Inventory</t>
  </si>
  <si>
    <t>Land</t>
  </si>
  <si>
    <t>Buildings</t>
  </si>
  <si>
    <t>Machinery</t>
  </si>
  <si>
    <t>Construction in Progress</t>
  </si>
  <si>
    <t>Full Time Employees</t>
  </si>
  <si>
    <t>RUP</t>
  </si>
  <si>
    <t>Note: For multiple class companies, total share counts are primary class equivalent, and for foreign companies listed as primary ADRs, total share counts are ADR-equivalent.</t>
  </si>
  <si>
    <t>Cash Flow</t>
  </si>
  <si>
    <t>Asset Writedown &amp; Restructuring Costs</t>
  </si>
  <si>
    <t>Stock-Based Compensation</t>
  </si>
  <si>
    <t>Other Operating Activities</t>
  </si>
  <si>
    <t>Change in Acc. Receivable</t>
  </si>
  <si>
    <t>Change In Inventories</t>
  </si>
  <si>
    <t>Change in Acc. Payable</t>
  </si>
  <si>
    <t>Change in Other Net Operating Assets</t>
  </si>
  <si>
    <t xml:space="preserve">  Cash from Ops.</t>
  </si>
  <si>
    <t>Capital Expenditure</t>
  </si>
  <si>
    <t>Sale of Property, Plant, and Equipment</t>
  </si>
  <si>
    <t>Cash Acquisitions</t>
  </si>
  <si>
    <t>Divestitures</t>
  </si>
  <si>
    <t>Invest. in Marketable &amp; Equity Securt.</t>
  </si>
  <si>
    <t>Net (Inc.) Dec. in Loans Originated/Sold</t>
  </si>
  <si>
    <t>Other Investing Activities</t>
  </si>
  <si>
    <t xml:space="preserve">  Cash from Investing</t>
  </si>
  <si>
    <t>Short Term Debt Issued</t>
  </si>
  <si>
    <t>Long-Term Debt Issued</t>
  </si>
  <si>
    <t>Total Debt Issued</t>
  </si>
  <si>
    <t>Short Term Debt Repaid</t>
  </si>
  <si>
    <t>Long-Term Debt Repaid</t>
  </si>
  <si>
    <t>Total Debt Repaid</t>
  </si>
  <si>
    <t>Repurchase of Common Stock</t>
  </si>
  <si>
    <t>Common Dividends Paid</t>
  </si>
  <si>
    <t>Total Dividends Paid</t>
  </si>
  <si>
    <t>Special Dividend Paid</t>
  </si>
  <si>
    <t>Other Financing Activities</t>
  </si>
  <si>
    <t xml:space="preserve">  Cash from Financing</t>
  </si>
  <si>
    <t>Foreign Exchange Rate Adj.</t>
  </si>
  <si>
    <t xml:space="preserve">  Net Change in Cash</t>
  </si>
  <si>
    <t>Cash Interest Paid</t>
  </si>
  <si>
    <t>Cash Taxes Paid</t>
  </si>
  <si>
    <t>Levered Free Cash Flow</t>
  </si>
  <si>
    <t>Unlevered Free Cash Flow</t>
  </si>
  <si>
    <t>Change in Net Working Capital</t>
  </si>
  <si>
    <t>Net Debt Issued</t>
  </si>
  <si>
    <t>N/A</t>
  </si>
  <si>
    <t>Total Revenue</t>
  </si>
  <si>
    <t>NOPAT</t>
  </si>
  <si>
    <t>2025A</t>
  </si>
  <si>
    <t>2026P</t>
  </si>
  <si>
    <t>2027P</t>
  </si>
  <si>
    <t>2028P</t>
  </si>
  <si>
    <t>2029P</t>
  </si>
  <si>
    <t>2030P</t>
  </si>
  <si>
    <t>2024A</t>
  </si>
  <si>
    <t>2023A</t>
  </si>
  <si>
    <t>2022A</t>
  </si>
  <si>
    <t>2021A</t>
  </si>
  <si>
    <t>Assumptions</t>
  </si>
  <si>
    <t>SG&amp;A</t>
  </si>
  <si>
    <t>R&amp;D</t>
  </si>
  <si>
    <t>YoY Growth (%)</t>
  </si>
  <si>
    <t>CDBU (Cloud Data Center)</t>
  </si>
  <si>
    <t>MCBU (Mobile &amp; Client)</t>
  </si>
  <si>
    <t>AEBU (Auto, Embedded)</t>
  </si>
  <si>
    <t>CMBU (Compute &amp; Memory)</t>
  </si>
  <si>
    <t>Cost of Sales</t>
  </si>
  <si>
    <t>Tax Rate</t>
  </si>
  <si>
    <t>Interest Income</t>
  </si>
  <si>
    <t>Valuation</t>
  </si>
  <si>
    <t>Tax @ 21%</t>
  </si>
  <si>
    <t>(+) D&amp;A</t>
  </si>
  <si>
    <t>(-) Capex</t>
  </si>
  <si>
    <t>Unlevered FCF</t>
  </si>
  <si>
    <t>Operating Lease ROU Assets</t>
  </si>
  <si>
    <t>Property, Plant, and Equipment</t>
  </si>
  <si>
    <t>AR</t>
  </si>
  <si>
    <t>Inv</t>
  </si>
  <si>
    <t>AP</t>
  </si>
  <si>
    <t>Other CL</t>
  </si>
  <si>
    <t>Total DFNWC</t>
  </si>
  <si>
    <t>Accrued Exp</t>
  </si>
  <si>
    <t>Unearned Revenue</t>
  </si>
  <si>
    <t>DFNWC as % of Rev</t>
  </si>
  <si>
    <t>Average</t>
  </si>
  <si>
    <t>DFNWC Assumptions</t>
  </si>
  <si>
    <t>Restructure and Asset Impairments</t>
  </si>
  <si>
    <t>Operating Income (Loss)</t>
  </si>
  <si>
    <t>Other Nonoperating Income (Expense), Net</t>
  </si>
  <si>
    <t>Income Tax (Provision) Benefit)</t>
  </si>
  <si>
    <t>Equity in net income (loss) of equity method investees</t>
  </si>
  <si>
    <t>Net Income (Loss)</t>
  </si>
  <si>
    <t>Income Before Tax</t>
  </si>
  <si>
    <t>Other Operating (Income) Expense, Net</t>
  </si>
  <si>
    <t>DCF</t>
  </si>
  <si>
    <t>Discount Factor</t>
  </si>
  <si>
    <t>Sum of DCF</t>
  </si>
  <si>
    <t>(-) DFNWC</t>
  </si>
  <si>
    <t>DCF Assumptions</t>
  </si>
  <si>
    <t>Expenses (as % of rev)</t>
  </si>
  <si>
    <t>Other (as % of rev)</t>
  </si>
  <si>
    <t>Tax Rate (effective rate)</t>
  </si>
  <si>
    <t>CAPEX (as % of rev)</t>
  </si>
  <si>
    <t>Depreciation &amp; Amort. (as % of PPE)</t>
  </si>
  <si>
    <t>PPE</t>
  </si>
  <si>
    <t>Assume CAPEX spend includes maintenance CAPEX to offset D&amp;A</t>
  </si>
  <si>
    <t>WACC Calculations</t>
  </si>
  <si>
    <t>Debt</t>
  </si>
  <si>
    <t>Equity</t>
  </si>
  <si>
    <t>Amt</t>
  </si>
  <si>
    <t>Weight</t>
  </si>
  <si>
    <t>Cost</t>
  </si>
  <si>
    <t>WACC</t>
  </si>
  <si>
    <t>Cost of Debt</t>
  </si>
  <si>
    <t>Funded Debt</t>
  </si>
  <si>
    <t>Kd Tax Effected</t>
  </si>
  <si>
    <t>Oper Lease Liab</t>
  </si>
  <si>
    <t>Lease Interest %</t>
  </si>
  <si>
    <t>Tax Effected</t>
  </si>
  <si>
    <t>Total Debt (Funded + Op L)</t>
  </si>
  <si>
    <t>WA Kd</t>
  </si>
  <si>
    <t>Cost of Equity</t>
  </si>
  <si>
    <t>Equity Amount</t>
  </si>
  <si>
    <t>Rf %</t>
  </si>
  <si>
    <t>LT Returns to Skt Market</t>
  </si>
  <si>
    <t>Equity Mkt Premium</t>
  </si>
  <si>
    <t>Beta</t>
  </si>
  <si>
    <t>CAPM Cost of Equity</t>
  </si>
  <si>
    <t>Fully Diluted Shares Outstanding (Q2 2026 Earnings)</t>
  </si>
  <si>
    <t>MU Share price as of close 4/17/2026</t>
  </si>
  <si>
    <t>PV Projection $F</t>
  </si>
  <si>
    <t>PV-TV</t>
  </si>
  <si>
    <t>Entreprise Value</t>
  </si>
  <si>
    <t>Equity Value</t>
  </si>
  <si>
    <t>Per Share Value</t>
  </si>
  <si>
    <t>Term Y UF$F</t>
  </si>
  <si>
    <t>Growth %</t>
  </si>
  <si>
    <t>PV of TV</t>
  </si>
  <si>
    <t>TV Calculation</t>
  </si>
  <si>
    <t>Western Digital
(WDC)</t>
  </si>
  <si>
    <t>Applied Materials
(AMAT)</t>
  </si>
  <si>
    <t>Intel Corp.
(INTC)</t>
  </si>
  <si>
    <t>Peer
Mean</t>
  </si>
  <si>
    <t>Peer
Median</t>
  </si>
  <si>
    <t xml:space="preserve">  Total Funded Debt ($mm)</t>
  </si>
  <si>
    <t xml:space="preserve">  Lease Liabilities ($mm)</t>
  </si>
  <si>
    <t xml:space="preserve">  Cash &amp; ST Investments ($mm)</t>
  </si>
  <si>
    <t xml:space="preserve">  LFY Revenue ($mm)</t>
  </si>
  <si>
    <t xml:space="preserve">  LFY-1 Revenue ($mm)</t>
  </si>
  <si>
    <t xml:space="preserve">  YoY Revenue Growth (%)</t>
  </si>
  <si>
    <t xml:space="preserve">  LFY EBITDA ($mm)</t>
  </si>
  <si>
    <t xml:space="preserve">  LFY EBIT ($mm)</t>
  </si>
  <si>
    <t xml:space="preserve">  LFY EBITDAR ($mm)</t>
  </si>
  <si>
    <t xml:space="preserve">  LFY EBITDA Margin (%)</t>
  </si>
  <si>
    <t xml:space="preserve">  LFY Net Income to Common ($mm)</t>
  </si>
  <si>
    <t xml:space="preserve">  LFY Net Income Margin (%)</t>
  </si>
  <si>
    <t xml:space="preserve">  LFY Diluted EPS ($)</t>
  </si>
  <si>
    <t xml:space="preserve">  Total Assets ($mm)</t>
  </si>
  <si>
    <t xml:space="preserve">  EV / Revenue</t>
  </si>
  <si>
    <t xml:space="preserve">  EV / EBITDA  </t>
  </si>
  <si>
    <t xml:space="preserve">  EV / EBIT</t>
  </si>
  <si>
    <t xml:space="preserve">  EV / EBITDAR</t>
  </si>
  <si>
    <t>NMF</t>
  </si>
  <si>
    <t xml:space="preserve">  Price / Revenue</t>
  </si>
  <si>
    <t xml:space="preserve">  (Debt + Leases) / EBITDAR</t>
  </si>
  <si>
    <t xml:space="preserve">  Risk-Free Rate (10-yr Treasury, April 2026)</t>
  </si>
  <si>
    <t xml:space="preserve">  Equity Beta  (5-yr monthly, vs. S&amp;P 500)</t>
  </si>
  <si>
    <t xml:space="preserve">  Pre-Tax Cost of Debt  (coupon / par value approximation)</t>
  </si>
  <si>
    <t>Valuation Method</t>
  </si>
  <si>
    <t>Selected
Multiple</t>
  </si>
  <si>
    <t>MU Metric
($mm)</t>
  </si>
  <si>
    <t>Implied TEV
or Eq. Value ($mm)</t>
  </si>
  <si>
    <t>Equity Value
per Share ($)</t>
  </si>
  <si>
    <t xml:space="preserve">  (1)  P/E Multiple  [Wtd Avg: 60% WDC + 40% AMAT]</t>
  </si>
  <si>
    <t xml:space="preserve">  Implied Premium / (Discount) to Current Market Price</t>
  </si>
  <si>
    <t>Market Data  (as of April 18, 2026)</t>
  </si>
  <si>
    <t xml:space="preserve">Capital Structure </t>
  </si>
  <si>
    <t xml:space="preserve">Income Statement </t>
  </si>
  <si>
    <t xml:space="preserve">Balance Sheet </t>
  </si>
  <si>
    <t>Operating &amp; Credit Ratios</t>
  </si>
  <si>
    <t xml:space="preserve">WACC / Cost of Capital </t>
  </si>
  <si>
    <t>For the Fiscal Period Ending</t>
  </si>
  <si>
    <t>Company</t>
  </si>
  <si>
    <t>MICRON TECHNOLOGY
(MU)</t>
  </si>
  <si>
    <t>Jun-27-2025</t>
  </si>
  <si>
    <t>Oct-26-2025</t>
  </si>
  <si>
    <t>Dec-27-2025</t>
  </si>
  <si>
    <t>Aug-28-2025</t>
  </si>
  <si>
    <t xml:space="preserve">  Cost of Equity</t>
  </si>
  <si>
    <t xml:space="preserve">  After-Tax Cost of Debt</t>
  </si>
  <si>
    <t xml:space="preserve">  Debt Weight </t>
  </si>
  <si>
    <t xml:space="preserve">  Equity Weight </t>
  </si>
  <si>
    <t xml:space="preserve">  WACC </t>
  </si>
  <si>
    <t xml:space="preserve">  Equity Risk Premium</t>
  </si>
  <si>
    <t xml:space="preserve">  Net Debt / EBITDA  </t>
  </si>
  <si>
    <t xml:space="preserve">  Return on Equity</t>
  </si>
  <si>
    <t xml:space="preserve">  Return on Assets </t>
  </si>
  <si>
    <t xml:space="preserve">  Price / Book Value </t>
  </si>
  <si>
    <t xml:space="preserve">  Price / Earnings</t>
  </si>
  <si>
    <t>Equity Multiples</t>
  </si>
  <si>
    <t xml:space="preserve">Enterprise Value Multiples  </t>
  </si>
  <si>
    <t xml:space="preserve">  Book Value per Share ($) </t>
  </si>
  <si>
    <t xml:space="preserve">  Stock Price (per share)</t>
  </si>
  <si>
    <t xml:space="preserve">  Net Debt </t>
  </si>
  <si>
    <t xml:space="preserve">  Total Enterprise Value / TEV  ($mm)  </t>
  </si>
  <si>
    <t xml:space="preserve">  Shares Outstanding ($mm)  </t>
  </si>
  <si>
    <t xml:space="preserve">  Market Capitalization ($mm) </t>
  </si>
  <si>
    <t xml:space="preserve">  Common Equity ($mm)</t>
  </si>
  <si>
    <t xml:space="preserve">  (3)  TEV / Revenue Multiple  [Peer Median - supplemental, 0% weight]</t>
  </si>
  <si>
    <t xml:space="preserve">  (2)  TEV / EBITDA Multiple  [Peer Median - all 3 peers]</t>
  </si>
  <si>
    <t>Comparable Company Analysis - Guideline Public Company Method</t>
  </si>
  <si>
    <t>N/A - Equity Method</t>
  </si>
  <si>
    <t>Net Debt ($mm)</t>
  </si>
  <si>
    <t>Note: Numbers in RED are assumptions</t>
  </si>
  <si>
    <t>Note: Numbers in BLUE are historical values</t>
  </si>
  <si>
    <t xml:space="preserve">  Effective Tax Rate (Assume 21%)</t>
  </si>
  <si>
    <t>TV</t>
  </si>
  <si>
    <t xml:space="preserve">  Current MU Stock Price  (As of Close April 17, 2026)</t>
  </si>
  <si>
    <t>Stockholder
Equity Value ($mm)</t>
  </si>
  <si>
    <t>Shares
Outstanding ($mm)</t>
  </si>
  <si>
    <t>Guideline Company Valuation - Public Company Market Multiple Method</t>
  </si>
  <si>
    <t>Appraised MU Share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</si>
</sst>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_(* #,##0.0_);_(* \(#,##0.0\)_)\ ;_(* 0_)"/>
    <numFmt numFmtId="165" formatCode="_(&quot;$&quot;#,##0.0#_);_(\(&quot;$&quot;#,##0.0#\)_);_(&quot;$&quot;&quot; - &quot;_)"/>
    <numFmt numFmtId="166" formatCode="mmm\-dd\-yyyy"/>
    <numFmt numFmtId="167" formatCode="_(* #,##0_);_(* \(#,##0\)_)\ ;_(* 0_)"/>
    <numFmt numFmtId="168" formatCode="_(* #,##0.0_);_(* \(#,##0.0\);_(* &quot;-&quot;?_);_(@_)"/>
    <numFmt numFmtId="169" formatCode="0.0%"/>
    <numFmt numFmtId="170" formatCode="0.0%_);\(0.0%\);0.0%_);@_)"/>
    <numFmt numFmtId="171" formatCode="_(* #,##0_);_(* \(#,##0\);_(* &quot;-&quot;??_);_(@_)"/>
    <numFmt numFmtId="172" formatCode="_(* #,##0.0_);_(* \(#,##0.0\);_(* &quot;-&quot;??_);_(@_)"/>
    <numFmt numFmtId="173" formatCode="0.0"/>
    <numFmt numFmtId="174" formatCode="_(* #,##0.00_);_(* \(#,##0.00\)_)\ ;_(* 0_)"/>
    <numFmt numFmtId="175" formatCode="0.0\x"/>
  </numFmts>
  <fonts count="40" x14ac:knownFonts="1">
    <font>
      <sz val="10"/>
      <name val="Arial"/>
      <family val="2"/>
    </font>
    <font>
      <sz val="10"/>
      <name val="Arial"/>
      <family val="2"/>
    </font>
    <font>
      <sz val="8"/>
      <name val="Arial"/>
      <family val="2"/>
    </font>
    <font>
      <i/>
      <sz val="8"/>
      <name val="Arial"/>
      <family val="2"/>
    </font>
    <font>
      <b/>
      <sz val="8"/>
      <name val="Arial"/>
      <family val="2"/>
    </font>
    <font>
      <sz val="8"/>
      <color indexed="8"/>
      <name val="Arial"/>
      <family val="2"/>
    </font>
    <font>
      <b/>
      <sz val="8"/>
      <color indexed="9"/>
      <name val="Verdana"/>
      <family val="2"/>
    </font>
    <font>
      <sz val="1"/>
      <color indexed="9"/>
      <name val="Symbol"/>
      <family val="1"/>
      <charset val="2"/>
    </font>
    <font>
      <b/>
      <sz val="8"/>
      <color indexed="8"/>
      <name val="Arial"/>
      <family val="2"/>
    </font>
    <font>
      <b/>
      <i/>
      <sz val="8"/>
      <color indexed="8"/>
      <name val="Arial"/>
      <family val="2"/>
    </font>
    <font>
      <b/>
      <u val="double"/>
      <sz val="8"/>
      <color indexed="8"/>
      <name val="Arial"/>
      <family val="2"/>
    </font>
    <font>
      <b/>
      <u/>
      <sz val="8"/>
      <color indexed="8"/>
      <name val="Arial"/>
      <family val="2"/>
    </font>
    <font>
      <sz val="8"/>
      <color rgb="FFFF0000"/>
      <name val="Arial"/>
      <family val="2"/>
    </font>
    <font>
      <sz val="12"/>
      <color rgb="FF000000"/>
      <name val="Aptos Narrow"/>
      <family val="2"/>
      <scheme val="minor"/>
    </font>
    <font>
      <b/>
      <sz val="14"/>
      <name val="Arial"/>
      <family val="2"/>
    </font>
    <font>
      <sz val="10"/>
      <color rgb="FFFF0000"/>
      <name val="Arial"/>
      <family val="2"/>
    </font>
    <font>
      <b/>
      <sz val="10"/>
      <name val="Arial"/>
      <family val="2"/>
    </font>
    <font>
      <sz val="10"/>
      <color rgb="FF000000"/>
      <name val="Arial"/>
      <family val="2"/>
    </font>
    <font>
      <b/>
      <sz val="8"/>
      <color theme="0"/>
      <name val="Verdana"/>
      <family val="2"/>
    </font>
    <font>
      <sz val="10"/>
      <color theme="1"/>
      <name val="Arial"/>
      <family val="2"/>
    </font>
    <font>
      <b/>
      <sz val="10"/>
      <color rgb="FF000000"/>
      <name val="Arial"/>
      <family val="2"/>
    </font>
    <font>
      <u val="singleAccounting"/>
      <sz val="10"/>
      <color theme="1"/>
      <name val="Arial"/>
      <family val="2"/>
    </font>
    <font>
      <sz val="11"/>
      <color theme="1"/>
      <name val="Calibri"/>
      <family val="2"/>
      <charset val="1"/>
    </font>
    <font>
      <i/>
      <sz val="8"/>
      <color theme="1"/>
      <name val="Calibri"/>
      <family val="2"/>
    </font>
    <font>
      <sz val="11"/>
      <color theme="1"/>
      <name val="Arial"/>
      <family val="2"/>
    </font>
    <font>
      <b/>
      <sz val="8"/>
      <color indexed="9"/>
      <name val="Arial"/>
      <family val="2"/>
    </font>
    <font>
      <i/>
      <sz val="7"/>
      <color theme="1"/>
      <name val="Arial"/>
      <family val="2"/>
    </font>
    <font>
      <i/>
      <sz val="7"/>
      <color rgb="FF595959"/>
      <name val="Arial"/>
      <family val="2"/>
    </font>
    <font>
      <b/>
      <sz val="10"/>
      <color theme="1"/>
      <name val="Arial"/>
      <family val="2"/>
    </font>
    <font>
      <b/>
      <sz val="8"/>
      <color rgb="FF000000"/>
      <name val="Arial"/>
      <family val="2"/>
    </font>
    <font>
      <sz val="8"/>
      <color theme="1"/>
      <name val="Arial"/>
      <family val="2"/>
    </font>
    <font>
      <b/>
      <sz val="11"/>
      <color theme="1"/>
      <name val="Arial"/>
      <family val="2"/>
    </font>
    <font>
      <sz val="12"/>
      <color rgb="FF000000"/>
      <name val="Arial"/>
      <family val="2"/>
    </font>
    <font>
      <i/>
      <sz val="12"/>
      <color rgb="FF000000"/>
      <name val="Arial"/>
      <family val="2"/>
    </font>
    <font>
      <b/>
      <sz val="12"/>
      <color rgb="FF000000"/>
      <name val="Arial"/>
      <family val="2"/>
    </font>
    <font>
      <sz val="8"/>
      <color rgb="FF000000"/>
      <name val="Arial"/>
      <family val="2"/>
    </font>
    <font>
      <b/>
      <sz val="8"/>
      <color rgb="FFFF0000"/>
      <name val="Arial"/>
      <family val="2"/>
    </font>
    <font>
      <b/>
      <sz val="8"/>
      <color rgb="FF0070C0"/>
      <name val="Arial"/>
      <family val="2"/>
    </font>
    <font>
      <sz val="8"/>
      <color rgb="FF0070C0"/>
      <name val="Arial"/>
      <family val="2"/>
    </font>
    <font>
      <sz val="11"/>
      <color rgb="FF0070C0"/>
      <name val="Arial"/>
      <family val="2"/>
    </font>
  </fonts>
  <fills count="10">
    <fill>
      <patternFill patternType="none"/>
    </fill>
    <fill>
      <patternFill patternType="gray125"/>
    </fill>
    <fill>
      <patternFill patternType="solid">
        <fgColor indexed="56"/>
        <bgColor indexed="64"/>
      </patternFill>
    </fill>
    <fill>
      <patternFill patternType="darkGray"/>
    </fill>
    <fill>
      <patternFill patternType="solid">
        <fgColor theme="3" tint="0.89999084444715716"/>
        <bgColor indexed="64"/>
      </patternFill>
    </fill>
    <fill>
      <patternFill patternType="solid">
        <fgColor theme="2"/>
        <bgColor indexed="64"/>
      </patternFill>
    </fill>
    <fill>
      <patternFill patternType="solid">
        <fgColor theme="1"/>
        <bgColor indexed="64"/>
      </patternFill>
    </fill>
    <fill>
      <patternFill patternType="solid">
        <fgColor theme="0" tint="-0.14999847407452621"/>
        <bgColor indexed="64"/>
      </patternFill>
    </fill>
    <fill>
      <patternFill patternType="solid">
        <fgColor theme="9"/>
        <bgColor indexed="64"/>
      </patternFill>
    </fill>
    <fill>
      <patternFill patternType="solid">
        <fgColor rgb="FF00A605"/>
        <bgColor indexed="64"/>
      </patternFill>
    </fill>
  </fills>
  <borders count="4">
    <border>
      <left/>
      <right/>
      <top/>
      <bottom/>
      <diagonal/>
    </border>
    <border>
      <left/>
      <right/>
      <top style="thin">
        <color indexed="8"/>
      </top>
      <bottom/>
      <diagonal/>
    </border>
    <border>
      <left/>
      <right/>
      <top/>
      <bottom style="medium">
        <color indexed="64"/>
      </bottom>
      <diagonal/>
    </border>
    <border>
      <left/>
      <right/>
      <top/>
      <bottom style="thin">
        <color auto="1"/>
      </bottom>
      <diagonal/>
    </border>
  </borders>
  <cellStyleXfs count="5">
    <xf numFmtId="0" fontId="0" fillId="0" borderId="0"/>
    <xf numFmtId="9" fontId="1" fillId="0" borderId="0" applyFont="0" applyFill="0" applyBorder="0" applyAlignment="0" applyProtection="0"/>
    <xf numFmtId="0" fontId="7" fillId="0" borderId="0" applyAlignment="0"/>
    <xf numFmtId="44" fontId="1" fillId="0" borderId="0" applyFont="0" applyFill="0" applyBorder="0" applyAlignment="0" applyProtection="0"/>
    <xf numFmtId="0" fontId="22" fillId="0" borderId="0"/>
  </cellStyleXfs>
  <cellXfs count="135">
    <xf numFmtId="0" fontId="0" fillId="0" borderId="0" xfId="0"/>
    <xf numFmtId="0" fontId="2" fillId="0" borderId="0" xfId="0" applyFont="1"/>
    <xf numFmtId="0" fontId="4" fillId="0" borderId="0" xfId="0" applyFont="1"/>
    <xf numFmtId="0" fontId="5" fillId="0" borderId="0" xfId="0" applyFont="1" applyAlignment="1">
      <alignment horizontal="left" vertical="top"/>
    </xf>
    <xf numFmtId="0" fontId="6" fillId="2" borderId="0" xfId="0" applyFont="1" applyFill="1"/>
    <xf numFmtId="0" fontId="7" fillId="0" borderId="0" xfId="2" applyAlignment="1"/>
    <xf numFmtId="0" fontId="8" fillId="0" borderId="0" xfId="0" applyFont="1" applyAlignment="1">
      <alignment horizontal="left" vertical="top"/>
    </xf>
    <xf numFmtId="164" fontId="5" fillId="0" borderId="0" xfId="0" applyNumberFormat="1" applyFont="1" applyAlignment="1">
      <alignment horizontal="right" vertical="top" wrapText="1"/>
    </xf>
    <xf numFmtId="164" fontId="8" fillId="0" borderId="1" xfId="0" applyNumberFormat="1" applyFont="1" applyBorder="1" applyAlignment="1">
      <alignment horizontal="right" vertical="top" wrapText="1"/>
    </xf>
    <xf numFmtId="164" fontId="10" fillId="0" borderId="1" xfId="0" applyNumberFormat="1" applyFont="1" applyBorder="1" applyAlignment="1">
      <alignment horizontal="right" vertical="top" wrapText="1"/>
    </xf>
    <xf numFmtId="165" fontId="5" fillId="0" borderId="0" xfId="0" applyNumberFormat="1" applyFont="1" applyAlignment="1">
      <alignment horizontal="right" vertical="top" wrapText="1"/>
    </xf>
    <xf numFmtId="49" fontId="5" fillId="0" borderId="0" xfId="0" applyNumberFormat="1" applyFont="1" applyAlignment="1">
      <alignment horizontal="right" vertical="top" wrapText="1"/>
    </xf>
    <xf numFmtId="166" fontId="5" fillId="0" borderId="0" xfId="0" applyNumberFormat="1" applyFont="1" applyAlignment="1">
      <alignment horizontal="right" vertical="top" wrapText="1"/>
    </xf>
    <xf numFmtId="0" fontId="2" fillId="0" borderId="0" xfId="0" applyFont="1" applyAlignment="1">
      <alignment vertical="top" wrapText="1"/>
    </xf>
    <xf numFmtId="0" fontId="5" fillId="0" borderId="0" xfId="0" applyFont="1" applyAlignment="1">
      <alignment horizontal="center" vertical="center"/>
    </xf>
    <xf numFmtId="164" fontId="11" fillId="0" borderId="0" xfId="0" applyNumberFormat="1" applyFont="1" applyAlignment="1">
      <alignment horizontal="right" vertical="top" wrapText="1"/>
    </xf>
    <xf numFmtId="164" fontId="10" fillId="0" borderId="0" xfId="0" applyNumberFormat="1" applyFont="1" applyAlignment="1">
      <alignment horizontal="right" vertical="top" wrapText="1"/>
    </xf>
    <xf numFmtId="167" fontId="5" fillId="0" borderId="0" xfId="0" applyNumberFormat="1" applyFont="1" applyAlignment="1">
      <alignment horizontal="right" vertical="top" wrapText="1"/>
    </xf>
    <xf numFmtId="168" fontId="2" fillId="0" borderId="0" xfId="0" applyNumberFormat="1" applyFont="1"/>
    <xf numFmtId="169" fontId="2" fillId="0" borderId="0" xfId="1" applyNumberFormat="1" applyFont="1"/>
    <xf numFmtId="0" fontId="2" fillId="0" borderId="0" xfId="0" applyFont="1" applyAlignment="1">
      <alignment horizontal="right"/>
    </xf>
    <xf numFmtId="10" fontId="2" fillId="0" borderId="0" xfId="1" applyNumberFormat="1" applyFont="1"/>
    <xf numFmtId="0" fontId="8" fillId="4" borderId="0" xfId="0" applyFont="1" applyFill="1" applyAlignment="1">
      <alignment wrapText="1"/>
    </xf>
    <xf numFmtId="0" fontId="8" fillId="4" borderId="0" xfId="0" applyFont="1" applyFill="1" applyAlignment="1">
      <alignment horizontal="right" wrapText="1"/>
    </xf>
    <xf numFmtId="0" fontId="9" fillId="4" borderId="0" xfId="0" applyFont="1" applyFill="1" applyAlignment="1">
      <alignment wrapText="1"/>
    </xf>
    <xf numFmtId="0" fontId="9" fillId="4" borderId="0" xfId="0" applyFont="1" applyFill="1" applyAlignment="1">
      <alignment horizontal="right" wrapText="1"/>
    </xf>
    <xf numFmtId="10" fontId="12" fillId="0" borderId="0" xfId="1" applyNumberFormat="1" applyFont="1"/>
    <xf numFmtId="37" fontId="0" fillId="0" borderId="0" xfId="0" applyNumberFormat="1"/>
    <xf numFmtId="170" fontId="0" fillId="0" borderId="0" xfId="0" applyNumberFormat="1" applyAlignment="1">
      <alignment horizontal="right"/>
    </xf>
    <xf numFmtId="169" fontId="0" fillId="0" borderId="0" xfId="1" applyNumberFormat="1" applyFont="1" applyAlignment="1">
      <alignment horizontal="right"/>
    </xf>
    <xf numFmtId="169" fontId="0" fillId="0" borderId="2" xfId="1" applyNumberFormat="1" applyFont="1" applyBorder="1" applyAlignment="1">
      <alignment horizontal="right"/>
    </xf>
    <xf numFmtId="169" fontId="0" fillId="0" borderId="0" xfId="1" applyNumberFormat="1" applyFont="1" applyBorder="1" applyAlignment="1">
      <alignment horizontal="right"/>
    </xf>
    <xf numFmtId="0" fontId="14" fillId="0" borderId="0" xfId="0" applyFont="1"/>
    <xf numFmtId="0" fontId="13" fillId="0" borderId="0" xfId="0" applyFont="1" applyAlignment="1">
      <alignment horizontal="left" indent="1"/>
    </xf>
    <xf numFmtId="0" fontId="0" fillId="0" borderId="0" xfId="0" applyAlignment="1">
      <alignment horizontal="left" indent="1"/>
    </xf>
    <xf numFmtId="169" fontId="15" fillId="0" borderId="2" xfId="1" applyNumberFormat="1" applyFont="1" applyBorder="1"/>
    <xf numFmtId="169" fontId="15" fillId="0" borderId="0" xfId="1" applyNumberFormat="1" applyFont="1"/>
    <xf numFmtId="171" fontId="16" fillId="0" borderId="0" xfId="0" applyNumberFormat="1" applyFont="1"/>
    <xf numFmtId="169" fontId="15" fillId="0" borderId="0" xfId="1" applyNumberFormat="1" applyFont="1" applyAlignment="1">
      <alignment horizontal="right"/>
    </xf>
    <xf numFmtId="169" fontId="17" fillId="0" borderId="0" xfId="1" applyNumberFormat="1" applyFont="1" applyAlignment="1">
      <alignment horizontal="right"/>
    </xf>
    <xf numFmtId="37" fontId="17" fillId="0" borderId="0" xfId="0" applyNumberFormat="1" applyFont="1" applyAlignment="1">
      <alignment horizontal="right"/>
    </xf>
    <xf numFmtId="37" fontId="17" fillId="0" borderId="2" xfId="0" applyNumberFormat="1" applyFont="1" applyBorder="1" applyAlignment="1">
      <alignment horizontal="right"/>
    </xf>
    <xf numFmtId="164" fontId="2" fillId="0" borderId="0" xfId="0" applyNumberFormat="1" applyFont="1"/>
    <xf numFmtId="169" fontId="15" fillId="0" borderId="0" xfId="0" applyNumberFormat="1" applyFont="1"/>
    <xf numFmtId="168" fontId="0" fillId="0" borderId="0" xfId="0" applyNumberFormat="1"/>
    <xf numFmtId="169" fontId="0" fillId="0" borderId="0" xfId="1" applyNumberFormat="1" applyFont="1"/>
    <xf numFmtId="168" fontId="5" fillId="0" borderId="0" xfId="0" applyNumberFormat="1" applyFont="1" applyAlignment="1">
      <alignment horizontal="left" vertical="top"/>
    </xf>
    <xf numFmtId="0" fontId="18" fillId="6" borderId="0" xfId="0" applyFont="1" applyFill="1"/>
    <xf numFmtId="0" fontId="8" fillId="5" borderId="0" xfId="0" applyFont="1" applyFill="1" applyAlignment="1">
      <alignment wrapText="1"/>
    </xf>
    <xf numFmtId="0" fontId="8" fillId="5" borderId="0" xfId="0" applyFont="1" applyFill="1" applyAlignment="1">
      <alignment horizontal="right" wrapText="1"/>
    </xf>
    <xf numFmtId="0" fontId="2" fillId="0" borderId="2" xfId="0" applyFont="1" applyBorder="1"/>
    <xf numFmtId="164" fontId="2" fillId="0" borderId="0" xfId="0" applyNumberFormat="1" applyFont="1" applyAlignment="1">
      <alignment horizontal="right"/>
    </xf>
    <xf numFmtId="164" fontId="2" fillId="0" borderId="2" xfId="0" applyNumberFormat="1" applyFont="1" applyBorder="1"/>
    <xf numFmtId="168" fontId="4" fillId="0" borderId="0" xfId="0" applyNumberFormat="1" applyFont="1"/>
    <xf numFmtId="0" fontId="3" fillId="0" borderId="0" xfId="0" applyFont="1" applyAlignment="1">
      <alignment horizontal="left" indent="1"/>
    </xf>
    <xf numFmtId="0" fontId="4" fillId="0" borderId="0" xfId="0" applyFont="1" applyAlignment="1">
      <alignment horizontal="right"/>
    </xf>
    <xf numFmtId="169" fontId="12" fillId="0" borderId="0" xfId="0" applyNumberFormat="1" applyFont="1"/>
    <xf numFmtId="0" fontId="2" fillId="3" borderId="0" xfId="0" applyFont="1" applyFill="1"/>
    <xf numFmtId="0" fontId="2" fillId="3" borderId="2" xfId="0" applyFont="1" applyFill="1" applyBorder="1"/>
    <xf numFmtId="169" fontId="12" fillId="0" borderId="0" xfId="1" applyNumberFormat="1" applyFont="1"/>
    <xf numFmtId="172" fontId="0" fillId="0" borderId="0" xfId="0" applyNumberFormat="1"/>
    <xf numFmtId="0" fontId="0" fillId="0" borderId="2" xfId="0" applyBorder="1"/>
    <xf numFmtId="172" fontId="0" fillId="0" borderId="2" xfId="0" applyNumberFormat="1" applyBorder="1"/>
    <xf numFmtId="0" fontId="16" fillId="0" borderId="0" xfId="0" applyFont="1"/>
    <xf numFmtId="164" fontId="12" fillId="0" borderId="0" xfId="0" applyNumberFormat="1" applyFont="1" applyAlignment="1">
      <alignment horizontal="right" vertical="top" wrapText="1"/>
    </xf>
    <xf numFmtId="43" fontId="2" fillId="0" borderId="0" xfId="0" applyNumberFormat="1" applyFont="1"/>
    <xf numFmtId="37" fontId="20" fillId="0" borderId="0" xfId="0" applyNumberFormat="1" applyFont="1" applyAlignment="1">
      <alignment horizontal="right"/>
    </xf>
    <xf numFmtId="10" fontId="17" fillId="0" borderId="0" xfId="1" applyNumberFormat="1" applyFont="1" applyAlignment="1">
      <alignment horizontal="right"/>
    </xf>
    <xf numFmtId="169" fontId="19" fillId="0" borderId="0" xfId="1" applyNumberFormat="1" applyFont="1" applyAlignment="1">
      <alignment horizontal="right"/>
    </xf>
    <xf numFmtId="43" fontId="0" fillId="0" borderId="0" xfId="0" applyNumberFormat="1"/>
    <xf numFmtId="0" fontId="15" fillId="0" borderId="0" xfId="0" applyFont="1"/>
    <xf numFmtId="171" fontId="0" fillId="0" borderId="0" xfId="0" applyNumberFormat="1"/>
    <xf numFmtId="0" fontId="0" fillId="7" borderId="0" xfId="0" applyFill="1"/>
    <xf numFmtId="9" fontId="0" fillId="0" borderId="0" xfId="1" applyFont="1"/>
    <xf numFmtId="169" fontId="0" fillId="0" borderId="0" xfId="0" applyNumberFormat="1"/>
    <xf numFmtId="169" fontId="15" fillId="0" borderId="0" xfId="1" applyNumberFormat="1" applyFont="1" applyBorder="1"/>
    <xf numFmtId="173" fontId="0" fillId="0" borderId="0" xfId="0" applyNumberFormat="1"/>
    <xf numFmtId="43" fontId="16" fillId="0" borderId="0" xfId="0" applyNumberFormat="1" applyFont="1"/>
    <xf numFmtId="171" fontId="21" fillId="0" borderId="0" xfId="0" applyNumberFormat="1" applyFont="1"/>
    <xf numFmtId="44" fontId="0" fillId="8" borderId="0" xfId="0" applyNumberFormat="1" applyFill="1"/>
    <xf numFmtId="0" fontId="22" fillId="0" borderId="0" xfId="4"/>
    <xf numFmtId="0" fontId="23" fillId="0" borderId="0" xfId="4" applyFont="1" applyAlignment="1">
      <alignment horizontal="left" vertical="center"/>
    </xf>
    <xf numFmtId="0" fontId="24" fillId="0" borderId="0" xfId="4" applyFont="1"/>
    <xf numFmtId="0" fontId="25" fillId="2" borderId="0" xfId="0" applyFont="1" applyFill="1"/>
    <xf numFmtId="0" fontId="19" fillId="0" borderId="0" xfId="4" applyFont="1"/>
    <xf numFmtId="0" fontId="28" fillId="0" borderId="0" xfId="4" applyFont="1"/>
    <xf numFmtId="164" fontId="4" fillId="0" borderId="0" xfId="4" applyNumberFormat="1" applyFont="1" applyAlignment="1">
      <alignment horizontal="right" vertical="center"/>
    </xf>
    <xf numFmtId="0" fontId="27" fillId="0" borderId="0" xfId="4" applyFont="1" applyAlignment="1">
      <alignment horizontal="left" vertical="center"/>
    </xf>
    <xf numFmtId="169" fontId="2" fillId="0" borderId="0" xfId="4" applyNumberFormat="1" applyFont="1" applyAlignment="1">
      <alignment horizontal="right" vertical="center"/>
    </xf>
    <xf numFmtId="175" fontId="2" fillId="0" borderId="0" xfId="4" applyNumberFormat="1" applyFont="1" applyAlignment="1">
      <alignment horizontal="right" vertical="center"/>
    </xf>
    <xf numFmtId="169" fontId="12" fillId="0" borderId="0" xfId="4" applyNumberFormat="1" applyFont="1" applyAlignment="1">
      <alignment horizontal="right" vertical="center"/>
    </xf>
    <xf numFmtId="0" fontId="20" fillId="0" borderId="0" xfId="4" applyFont="1" applyAlignment="1">
      <alignment horizontal="left" vertical="center"/>
    </xf>
    <xf numFmtId="169" fontId="4" fillId="0" borderId="0" xfId="4" applyNumberFormat="1" applyFont="1" applyAlignment="1">
      <alignment horizontal="right" vertical="center"/>
    </xf>
    <xf numFmtId="0" fontId="4" fillId="0" borderId="3" xfId="4" applyFont="1" applyBorder="1" applyAlignment="1">
      <alignment horizontal="right" vertical="center" wrapText="1"/>
    </xf>
    <xf numFmtId="164" fontId="2" fillId="0" borderId="0" xfId="4" applyNumberFormat="1" applyFont="1" applyAlignment="1">
      <alignment horizontal="right" vertical="center"/>
    </xf>
    <xf numFmtId="0" fontId="26" fillId="0" borderId="0" xfId="4" applyFont="1" applyAlignment="1">
      <alignment horizontal="center" vertical="center"/>
    </xf>
    <xf numFmtId="175" fontId="30" fillId="0" borderId="0" xfId="4" applyNumberFormat="1" applyFont="1" applyAlignment="1">
      <alignment horizontal="right" vertical="center"/>
    </xf>
    <xf numFmtId="164" fontId="30" fillId="0" borderId="0" xfId="4" applyNumberFormat="1" applyFont="1" applyAlignment="1">
      <alignment horizontal="right" vertical="center"/>
    </xf>
    <xf numFmtId="44" fontId="31" fillId="9" borderId="0" xfId="4" applyNumberFormat="1" applyFont="1" applyFill="1"/>
    <xf numFmtId="0" fontId="29" fillId="0" borderId="0" xfId="4" applyFont="1" applyAlignment="1">
      <alignment horizontal="center" vertical="center"/>
    </xf>
    <xf numFmtId="0" fontId="32" fillId="0" borderId="0" xfId="0" applyFont="1" applyAlignment="1">
      <alignment horizontal="left" indent="1"/>
    </xf>
    <xf numFmtId="37" fontId="0" fillId="0" borderId="0" xfId="0" applyNumberFormat="1" applyFont="1"/>
    <xf numFmtId="0" fontId="33" fillId="0" borderId="0" xfId="0" applyFont="1" applyAlignment="1">
      <alignment horizontal="left" indent="2"/>
    </xf>
    <xf numFmtId="170" fontId="0" fillId="0" borderId="0" xfId="0" applyNumberFormat="1" applyFont="1" applyAlignment="1">
      <alignment horizontal="right"/>
    </xf>
    <xf numFmtId="0" fontId="0" fillId="0" borderId="0" xfId="0" applyFont="1" applyAlignment="1">
      <alignment horizontal="left" indent="1"/>
    </xf>
    <xf numFmtId="37" fontId="0" fillId="0" borderId="0" xfId="0" applyNumberFormat="1" applyFont="1" applyAlignment="1">
      <alignment horizontal="right"/>
    </xf>
    <xf numFmtId="9" fontId="32" fillId="0" borderId="0" xfId="1" applyFont="1" applyAlignment="1">
      <alignment horizontal="left" indent="1"/>
    </xf>
    <xf numFmtId="171" fontId="0" fillId="0" borderId="0" xfId="0" applyNumberFormat="1" applyFont="1" applyAlignment="1">
      <alignment horizontal="right"/>
    </xf>
    <xf numFmtId="0" fontId="33" fillId="0" borderId="2" xfId="0" applyFont="1" applyBorder="1" applyAlignment="1">
      <alignment horizontal="left" indent="2"/>
    </xf>
    <xf numFmtId="170" fontId="0" fillId="0" borderId="2" xfId="0" applyNumberFormat="1" applyFont="1" applyBorder="1" applyAlignment="1">
      <alignment horizontal="right"/>
    </xf>
    <xf numFmtId="0" fontId="34" fillId="0" borderId="0" xfId="0" applyFont="1" applyAlignment="1">
      <alignment horizontal="left" indent="1"/>
    </xf>
    <xf numFmtId="0" fontId="33" fillId="0" borderId="0" xfId="0" applyFont="1"/>
    <xf numFmtId="37" fontId="32" fillId="0" borderId="0" xfId="0" applyNumberFormat="1" applyFont="1" applyAlignment="1">
      <alignment horizontal="right"/>
    </xf>
    <xf numFmtId="169" fontId="0" fillId="0" borderId="0" xfId="0" applyNumberFormat="1" applyFont="1"/>
    <xf numFmtId="0" fontId="18" fillId="6" borderId="0" xfId="0" applyFont="1" applyFill="1" applyAlignment="1">
      <alignment wrapText="1"/>
    </xf>
    <xf numFmtId="0" fontId="35" fillId="0" borderId="0" xfId="4" applyFont="1" applyAlignment="1">
      <alignment horizontal="left" vertical="center"/>
    </xf>
    <xf numFmtId="0" fontId="36" fillId="0" borderId="0" xfId="0" applyFont="1"/>
    <xf numFmtId="0" fontId="37" fillId="0" borderId="0" xfId="0" applyFont="1"/>
    <xf numFmtId="44" fontId="38" fillId="0" borderId="0" xfId="0" applyNumberFormat="1" applyFont="1" applyFill="1"/>
    <xf numFmtId="164" fontId="38" fillId="0" borderId="0" xfId="4" applyNumberFormat="1" applyFont="1" applyAlignment="1">
      <alignment horizontal="right" vertical="center"/>
    </xf>
    <xf numFmtId="0" fontId="39" fillId="0" borderId="0" xfId="4" applyFont="1"/>
    <xf numFmtId="174" fontId="38" fillId="0" borderId="0" xfId="4" applyNumberFormat="1" applyFont="1" applyAlignment="1">
      <alignment horizontal="right" vertical="center"/>
    </xf>
    <xf numFmtId="0" fontId="3" fillId="0" borderId="0" xfId="4" applyFont="1" applyAlignment="1">
      <alignment horizontal="right" vertical="center"/>
    </xf>
    <xf numFmtId="0" fontId="38" fillId="0" borderId="0" xfId="4" applyFont="1" applyAlignment="1">
      <alignment horizontal="left" vertical="center"/>
    </xf>
    <xf numFmtId="44" fontId="0" fillId="0" borderId="0" xfId="3" applyFont="1" applyAlignment="1"/>
    <xf numFmtId="0" fontId="19" fillId="0" borderId="2" xfId="4" applyFont="1" applyBorder="1"/>
    <xf numFmtId="164" fontId="38" fillId="0" borderId="2" xfId="4" applyNumberFormat="1" applyFont="1" applyBorder="1" applyAlignment="1">
      <alignment horizontal="right" vertical="center"/>
    </xf>
    <xf numFmtId="0" fontId="39" fillId="0" borderId="2" xfId="4" applyFont="1" applyBorder="1"/>
    <xf numFmtId="2" fontId="12" fillId="0" borderId="2" xfId="4" applyNumberFormat="1" applyFont="1" applyBorder="1" applyAlignment="1">
      <alignment horizontal="right" vertical="center"/>
    </xf>
    <xf numFmtId="0" fontId="24" fillId="0" borderId="2" xfId="4" applyFont="1" applyBorder="1"/>
    <xf numFmtId="169" fontId="12" fillId="0" borderId="2" xfId="4" applyNumberFormat="1" applyFont="1" applyBorder="1" applyAlignment="1">
      <alignment horizontal="right" vertical="center"/>
    </xf>
    <xf numFmtId="169" fontId="2" fillId="0" borderId="2" xfId="4" applyNumberFormat="1" applyFont="1" applyBorder="1" applyAlignment="1">
      <alignment horizontal="right" vertical="center"/>
    </xf>
    <xf numFmtId="44" fontId="38" fillId="0" borderId="0" xfId="3" applyFont="1" applyAlignment="1">
      <alignment horizontal="right" vertical="center"/>
    </xf>
    <xf numFmtId="44" fontId="2" fillId="0" borderId="0" xfId="3" applyFont="1" applyAlignment="1">
      <alignment horizontal="right" vertical="center"/>
    </xf>
    <xf numFmtId="44" fontId="30" fillId="0" borderId="0" xfId="3" applyFont="1" applyAlignment="1">
      <alignment horizontal="right" vertical="center"/>
    </xf>
  </cellXfs>
  <cellStyles count="5">
    <cellStyle name="Currency" xfId="3" builtinId="4"/>
    <cellStyle name="Invisible" xfId="2" xr:uid="{280C8BD7-9A4E-4763-B62A-AE95D0D43C2C}"/>
    <cellStyle name="Normal" xfId="0" builtinId="0"/>
    <cellStyle name="Normal 2" xfId="4" xr:uid="{064201B5-AF39-4515-B1A0-4B272B1A85C5}"/>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342900</xdr:colOff>
      <xdr:row>2</xdr:row>
      <xdr:rowOff>50800</xdr:rowOff>
    </xdr:to>
    <xdr:sp macro="" textlink="">
      <xdr:nvSpPr>
        <xdr:cNvPr id="3" name="AutoShape 1">
          <a:extLst>
            <a:ext uri="{FF2B5EF4-FFF2-40B4-BE49-F238E27FC236}">
              <a16:creationId xmlns:a16="http://schemas.microsoft.com/office/drawing/2014/main" id="{FE905E02-F49D-48CC-AB3E-8A4E33D86B2A}"/>
            </a:ext>
          </a:extLst>
        </xdr:cNvPr>
        <xdr:cNvSpPr>
          <a:spLocks noChangeAspect="1" noChangeArrowheads="1"/>
        </xdr:cNvSpPr>
      </xdr:nvSpPr>
      <xdr:spPr bwMode="auto">
        <a:xfrm>
          <a:off x="0" y="0"/>
          <a:ext cx="342900" cy="309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59</xdr:row>
      <xdr:rowOff>11204</xdr:rowOff>
    </xdr:from>
    <xdr:to>
      <xdr:col>21</xdr:col>
      <xdr:colOff>85998</xdr:colOff>
      <xdr:row>245</xdr:row>
      <xdr:rowOff>99059</xdr:rowOff>
    </xdr:to>
    <xdr:sp macro="" textlink="">
      <xdr:nvSpPr>
        <xdr:cNvPr id="5" name="TextBox 4">
          <a:extLst>
            <a:ext uri="{FF2B5EF4-FFF2-40B4-BE49-F238E27FC236}">
              <a16:creationId xmlns:a16="http://schemas.microsoft.com/office/drawing/2014/main" id="{22A0E0D7-F0CD-42AC-928D-73DB233CA271}"/>
            </a:ext>
            <a:ext uri="{147F2762-F138-4A5C-976F-8EAC2B608ADB}">
              <a16:predDERef xmlns:a16="http://schemas.microsoft.com/office/drawing/2014/main" pred="{D2B2EA12-0A37-BC42-9645-7B4AD5D84648}"/>
            </a:ext>
          </a:extLst>
        </xdr:cNvPr>
        <xdr:cNvSpPr txBox="1"/>
      </xdr:nvSpPr>
      <xdr:spPr>
        <a:xfrm>
          <a:off x="792480" y="9665744"/>
          <a:ext cx="16720458" cy="241822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FF0000"/>
              </a:solidFill>
            </a:rPr>
            <a:t>Notes</a:t>
          </a:r>
          <a:r>
            <a:rPr lang="en-US" sz="1400" baseline="0">
              <a:solidFill>
                <a:srgbClr val="FF0000"/>
              </a:solidFill>
            </a:rPr>
            <a:t> on </a:t>
          </a:r>
          <a:r>
            <a:rPr lang="en-US" sz="1400">
              <a:solidFill>
                <a:srgbClr val="FF0000"/>
              </a:solidFill>
            </a:rPr>
            <a:t>Assumptions</a:t>
          </a:r>
          <a:r>
            <a:rPr lang="en-US" sz="1400" baseline="0">
              <a:solidFill>
                <a:srgbClr val="FF0000"/>
              </a:solidFill>
            </a:rPr>
            <a:t> (In the order of how they appear on this valuation)</a:t>
          </a:r>
        </a:p>
        <a:p>
          <a:pPr rtl="0"/>
          <a:endParaRPr lang="en-US" sz="1400" b="0" i="0" u="none" strike="noStrike" baseline="0">
            <a:solidFill>
              <a:srgbClr val="FF0000"/>
            </a:solidFill>
            <a:effectLst/>
            <a:latin typeface="+mn-lt"/>
            <a:ea typeface="+mn-ea"/>
            <a:cs typeface="+mn-cs"/>
          </a:endParaRPr>
        </a:p>
        <a:p>
          <a:pPr rtl="0"/>
          <a:r>
            <a:rPr lang="en-US" sz="2000" b="1" i="0" u="sng" strike="noStrike">
              <a:solidFill>
                <a:schemeClr val="tx1"/>
              </a:solidFill>
              <a:effectLst/>
              <a:latin typeface="+mn-lt"/>
              <a:ea typeface="+mn-ea"/>
              <a:cs typeface="+mn-cs"/>
            </a:rPr>
            <a:t>Revenue Breakdown</a:t>
          </a:r>
        </a:p>
        <a:p>
          <a:pPr rtl="0"/>
          <a:endParaRPr lang="en-US" sz="1400" b="1" i="0" u="none" strike="noStrike">
            <a:solidFill>
              <a:schemeClr val="dk1"/>
            </a:solidFill>
            <a:effectLst/>
            <a:latin typeface="+mn-lt"/>
            <a:ea typeface="+mn-ea"/>
            <a:cs typeface="+mn-cs"/>
          </a:endParaRPr>
        </a:p>
        <a:p>
          <a:pPr rtl="0" fontAlgn="base"/>
          <a:r>
            <a:rPr lang="en-US" sz="1400" b="1" i="0" u="none" strike="noStrike">
              <a:solidFill>
                <a:schemeClr val="dk1"/>
              </a:solidFill>
              <a:effectLst/>
              <a:latin typeface="+mn-lt"/>
              <a:ea typeface="+mn-ea"/>
              <a:cs typeface="+mn-cs"/>
            </a:rPr>
            <a:t>*Note</a:t>
          </a:r>
          <a:r>
            <a:rPr lang="en-US" sz="1400" b="1" i="0" u="none" strike="noStrike" baseline="0">
              <a:solidFill>
                <a:schemeClr val="dk1"/>
              </a:solidFill>
              <a:effectLst/>
              <a:latin typeface="+mn-lt"/>
              <a:ea typeface="+mn-ea"/>
              <a:cs typeface="+mn-cs"/>
            </a:rPr>
            <a:t> - in Q4 2025, Micron reclassified their organization of revenue segments. Previously they were organized into the following 4 categories:</a:t>
          </a:r>
        </a:p>
        <a:p>
          <a:endParaRPr lang="en-US" sz="1400" b="1"/>
        </a:p>
        <a:p>
          <a:r>
            <a:rPr lang="en-US" sz="1400" b="1"/>
            <a:t>CNBU (Compute and Networking Business Unit):</a:t>
          </a:r>
          <a:endParaRPr lang="en-US" sz="1400" b="0"/>
        </a:p>
        <a:p>
          <a:pPr lvl="1"/>
          <a:r>
            <a:rPr lang="en-US" sz="1400"/>
            <a:t>Sales</a:t>
          </a:r>
          <a:r>
            <a:rPr lang="en-US" sz="1400" baseline="0"/>
            <a:t> of </a:t>
          </a:r>
          <a:r>
            <a:rPr lang="en-US" sz="1400"/>
            <a:t>DRAM and high-bandwidth memory solutions for data centers, cloud infrastructure, and networking equipment, heavily tied to server and AI-related demand.</a:t>
          </a:r>
        </a:p>
        <a:p>
          <a:r>
            <a:rPr lang="en-US" sz="1400" b="1"/>
            <a:t>MBU (Mobile Business Unit):</a:t>
          </a:r>
          <a:endParaRPr lang="en-US" sz="1400" b="0"/>
        </a:p>
        <a:p>
          <a:pPr lvl="1"/>
          <a:r>
            <a:rPr lang="en-US" sz="1400"/>
            <a:t>Sales for mobile DRAM and storage solutions for smartphones and tablets, driven by increasing memory content per device and mobile performance needs.</a:t>
          </a:r>
        </a:p>
        <a:p>
          <a:r>
            <a:rPr lang="en-US" sz="1400" b="1"/>
            <a:t>EBU (Embedded Business Unit):</a:t>
          </a:r>
          <a:endParaRPr lang="en-US" sz="1400" b="0"/>
        </a:p>
        <a:p>
          <a:pPr lvl="1"/>
          <a:r>
            <a:rPr lang="en-US" sz="1400"/>
            <a:t>Sales for automotive, industrial, and consumer embedded markets with specialized memory solutions tailored for durability, longevity, and specific end-use applications.</a:t>
          </a:r>
        </a:p>
        <a:p>
          <a:r>
            <a:rPr lang="en-US" sz="1400" b="1"/>
            <a:t>SBU (Storage Business Unit):</a:t>
          </a:r>
          <a:endParaRPr lang="en-US" sz="1400" b="0"/>
        </a:p>
        <a:p>
          <a:pPr lvl="1"/>
          <a:r>
            <a:rPr lang="en-US" sz="1400"/>
            <a:t>Sales</a:t>
          </a:r>
          <a:r>
            <a:rPr lang="en-US" sz="1400" baseline="0"/>
            <a:t> to </a:t>
          </a:r>
          <a:r>
            <a:rPr lang="en-US" sz="1400"/>
            <a:t>enterprise, client, and consumer SSDs, as well as discrete storage components used across various end markets.</a:t>
          </a:r>
        </a:p>
        <a:p>
          <a:pPr rtl="0" fontAlgn="base"/>
          <a:endParaRPr lang="en-US" sz="1400" b="1" i="0" u="none" strike="noStrike">
            <a:solidFill>
              <a:schemeClr val="dk1"/>
            </a:solidFill>
            <a:effectLst/>
            <a:latin typeface="+mn-lt"/>
            <a:ea typeface="+mn-ea"/>
            <a:cs typeface="+mn-cs"/>
          </a:endParaRPr>
        </a:p>
        <a:p>
          <a:pPr rtl="0" fontAlgn="base"/>
          <a:r>
            <a:rPr lang="en-US" sz="1400" b="1" i="0" u="none" strike="noStrike">
              <a:solidFill>
                <a:schemeClr val="dk1"/>
              </a:solidFill>
              <a:effectLst/>
              <a:latin typeface="+mn-lt"/>
              <a:ea typeface="+mn-ea"/>
              <a:cs typeface="+mn-cs"/>
            </a:rPr>
            <a:t>Now they are organized into:</a:t>
          </a:r>
        </a:p>
        <a:p>
          <a:pPr rtl="0" fontAlgn="base"/>
          <a:endParaRPr lang="en-US" sz="1400" b="1" i="0" u="none" strike="noStrike">
            <a:solidFill>
              <a:schemeClr val="dk1"/>
            </a:solidFill>
            <a:effectLst/>
            <a:latin typeface="+mn-lt"/>
            <a:ea typeface="+mn-ea"/>
            <a:cs typeface="+mn-cs"/>
          </a:endParaRPr>
        </a:p>
        <a:p>
          <a:pPr rtl="0" fontAlgn="base"/>
          <a:r>
            <a:rPr lang="en-US" sz="1400" b="1"/>
            <a:t>Cloud Memory Business Unit (CMBU) = Part of CNBU</a:t>
          </a:r>
        </a:p>
        <a:p>
          <a:pPr lvl="1" rtl="0" fontAlgn="base"/>
          <a:r>
            <a:rPr lang="en-US" sz="1400"/>
            <a:t>Provides high-performance DRAM solutions</a:t>
          </a:r>
          <a:r>
            <a:rPr lang="en-US" sz="1400" baseline="0"/>
            <a:t> </a:t>
          </a:r>
          <a:r>
            <a:rPr lang="en-US" sz="1400"/>
            <a:t>designed for hyperscale cloud and AI data center workloads. Provide processing and memory bandwidth required for training and running large AI models.</a:t>
          </a:r>
          <a:endParaRPr lang="en-US" sz="1400" b="0" i="0" u="sng" strike="noStrike">
            <a:solidFill>
              <a:schemeClr val="dk1"/>
            </a:solidFill>
            <a:effectLst/>
            <a:latin typeface="+mn-lt"/>
            <a:ea typeface="+mn-ea"/>
            <a:cs typeface="+mn-cs"/>
          </a:endParaRPr>
        </a:p>
        <a:p>
          <a:pPr rtl="0" fontAlgn="base"/>
          <a:endParaRPr lang="en-US" sz="1400" b="0" i="0" u="sng" strike="noStrike">
            <a:solidFill>
              <a:schemeClr val="dk1"/>
            </a:solidFill>
            <a:effectLst/>
            <a:latin typeface="+mn-lt"/>
            <a:ea typeface="+mn-ea"/>
            <a:cs typeface="+mn-cs"/>
          </a:endParaRPr>
        </a:p>
        <a:p>
          <a:pPr rtl="0" fontAlgn="base"/>
          <a:r>
            <a:rPr lang="en-US" sz="1400" b="1"/>
            <a:t>Core Data Center Business Unit (CDBU) = Part of</a:t>
          </a:r>
          <a:r>
            <a:rPr lang="en-US" sz="1400" b="1" baseline="0"/>
            <a:t> CNBU + SBU</a:t>
          </a:r>
          <a:endParaRPr lang="en-US" sz="1400" b="1" i="0" u="sng" strike="noStrike">
            <a:solidFill>
              <a:schemeClr val="dk1"/>
            </a:solidFill>
            <a:effectLst/>
            <a:latin typeface="+mn-lt"/>
            <a:ea typeface="+mn-ea"/>
            <a:cs typeface="+mn-cs"/>
          </a:endParaRPr>
        </a:p>
        <a:p>
          <a:pPr lvl="1" rtl="0" fontAlgn="base"/>
          <a:r>
            <a:rPr lang="en-US" sz="1400"/>
            <a:t>Products optimized for high-capacity, high-reliability storage and compute in enterprise servers and mid-tier cloud environments.</a:t>
          </a:r>
        </a:p>
        <a:p>
          <a:pPr lvl="1" rtl="0" fontAlgn="base"/>
          <a:endParaRPr lang="en-US" sz="1400" b="1" i="0" u="sng" strike="noStrike">
            <a:solidFill>
              <a:schemeClr val="dk1"/>
            </a:solidFill>
            <a:effectLst/>
            <a:latin typeface="+mn-lt"/>
            <a:ea typeface="+mn-ea"/>
            <a:cs typeface="+mn-cs"/>
          </a:endParaRPr>
        </a:p>
        <a:p>
          <a:pPr lvl="0" rtl="0" fontAlgn="base"/>
          <a:r>
            <a:rPr lang="en-US" sz="1400" b="1"/>
            <a:t>Mobile and Client Business Unit (MCBU) = (MBU + part of SBU)</a:t>
          </a:r>
        </a:p>
        <a:p>
          <a:pPr lvl="1" rtl="0" fontAlgn="base"/>
          <a:r>
            <a:rPr lang="en-US" sz="1400" baseline="0"/>
            <a:t>D</a:t>
          </a:r>
          <a:r>
            <a:rPr lang="en-US" sz="1400"/>
            <a:t>elivers memory and storage (LPDDR, NAND, SSDs) for smartphones, PCs, and consumer devices.</a:t>
          </a:r>
        </a:p>
        <a:p>
          <a:pPr lvl="1" rtl="0" fontAlgn="base"/>
          <a:endParaRPr lang="en-US" sz="1400" b="1" i="0" u="sng" strike="noStrike">
            <a:solidFill>
              <a:schemeClr val="dk1"/>
            </a:solidFill>
            <a:effectLst/>
            <a:latin typeface="+mn-lt"/>
            <a:ea typeface="+mn-ea"/>
            <a:cs typeface="+mn-cs"/>
          </a:endParaRPr>
        </a:p>
        <a:p>
          <a:pPr lvl="0" rtl="0" fontAlgn="base"/>
          <a:r>
            <a:rPr lang="en-US" sz="1400" b="1"/>
            <a:t>Automotive and Embedded Business Unit (AEBU) = (EBU)</a:t>
          </a:r>
          <a:endParaRPr lang="en-US" sz="1400" b="1" i="0" u="sng" strike="noStrike">
            <a:solidFill>
              <a:schemeClr val="dk1"/>
            </a:solidFill>
            <a:effectLst/>
            <a:latin typeface="+mn-lt"/>
            <a:ea typeface="+mn-ea"/>
            <a:cs typeface="+mn-cs"/>
          </a:endParaRPr>
        </a:p>
        <a:p>
          <a:pPr marL="457200" marR="0" lvl="1" indent="0" defTabSz="914400" rtl="0" eaLnBrk="1" fontAlgn="base" latinLnBrk="0" hangingPunct="1">
            <a:lnSpc>
              <a:spcPct val="100000"/>
            </a:lnSpc>
            <a:spcBef>
              <a:spcPts val="0"/>
            </a:spcBef>
            <a:spcAft>
              <a:spcPts val="0"/>
            </a:spcAft>
            <a:buClrTx/>
            <a:buSzTx/>
            <a:buFontTx/>
            <a:buNone/>
            <a:tabLst/>
            <a:defRPr/>
          </a:pPr>
          <a:r>
            <a:rPr lang="en-US" sz="1400">
              <a:solidFill>
                <a:schemeClr val="dk1"/>
              </a:solidFill>
              <a:latin typeface="+mn-lt"/>
              <a:ea typeface="+mn-ea"/>
              <a:cs typeface="+mn-cs"/>
            </a:rPr>
            <a:t>Sales for automotive, industrial, and consumer embedded markets with specialized memory solutions tailored for durability, longevity, and specific end-use applications.</a:t>
          </a:r>
        </a:p>
        <a:p>
          <a:pPr rtl="0" fontAlgn="base"/>
          <a:endParaRPr lang="en-US" sz="1400" b="0" i="0" u="sng" strike="noStrike">
            <a:solidFill>
              <a:schemeClr val="dk1"/>
            </a:solidFill>
            <a:effectLst/>
            <a:latin typeface="+mn-lt"/>
            <a:ea typeface="+mn-ea"/>
            <a:cs typeface="+mn-cs"/>
          </a:endParaRPr>
        </a:p>
        <a:p>
          <a:pPr rtl="0" fontAlgn="base"/>
          <a:r>
            <a:rPr lang="en-US" sz="1400" b="0" i="0" u="none" strike="noStrike">
              <a:solidFill>
                <a:schemeClr val="dk1"/>
              </a:solidFill>
              <a:effectLst/>
              <a:latin typeface="+mn-lt"/>
              <a:ea typeface="+mn-ea"/>
              <a:cs typeface="+mn-cs"/>
            </a:rPr>
            <a:t>*After reclassification</a:t>
          </a:r>
          <a:r>
            <a:rPr lang="en-US" sz="1400" b="0" i="0" u="none" strike="noStrike" baseline="0">
              <a:solidFill>
                <a:schemeClr val="dk1"/>
              </a:solidFill>
              <a:effectLst/>
              <a:latin typeface="+mn-lt"/>
              <a:ea typeface="+mn-ea"/>
              <a:cs typeface="+mn-cs"/>
            </a:rPr>
            <a:t> of its revenue segments, Micron only Retrospectively adjusted its revenue numbers to 2023</a:t>
          </a:r>
          <a:endParaRPr lang="en-US" sz="1400" b="0" i="0" u="none" strike="noStrike">
            <a:solidFill>
              <a:schemeClr val="dk1"/>
            </a:solidFill>
            <a:effectLst/>
            <a:latin typeface="+mn-lt"/>
            <a:ea typeface="+mn-ea"/>
            <a:cs typeface="+mn-cs"/>
          </a:endParaRPr>
        </a:p>
        <a:p>
          <a:pPr rtl="0" fontAlgn="base"/>
          <a:endParaRPr lang="en-US" sz="1400" b="1" i="0" u="none" strike="noStrike">
            <a:solidFill>
              <a:schemeClr val="dk1"/>
            </a:solidFill>
            <a:effectLst/>
            <a:latin typeface="+mn-lt"/>
            <a:ea typeface="+mn-ea"/>
            <a:cs typeface="+mn-cs"/>
          </a:endParaRPr>
        </a:p>
        <a:p>
          <a:pPr rtl="0" fontAlgn="base"/>
          <a:r>
            <a:rPr lang="en-US" sz="1400" b="1" i="0" u="none" strike="noStrike">
              <a:solidFill>
                <a:schemeClr val="dk1"/>
              </a:solidFill>
              <a:effectLst/>
              <a:latin typeface="+mn-lt"/>
              <a:ea typeface="+mn-ea"/>
              <a:cs typeface="+mn-cs"/>
            </a:rPr>
            <a:t>Cloud Memory Business Unit (CMBU)</a:t>
          </a:r>
        </a:p>
        <a:p>
          <a:pPr lvl="1" rtl="0" fontAlgn="base"/>
          <a:r>
            <a:rPr lang="en-US" sz="1400" b="0" i="0" u="none" strike="noStrike">
              <a:solidFill>
                <a:schemeClr val="dk1"/>
              </a:solidFill>
              <a:effectLst/>
              <a:latin typeface="+mn-lt"/>
              <a:ea typeface="+mn-ea"/>
              <a:cs typeface="+mn-cs"/>
            </a:rPr>
            <a:t>The global data center storage market is projected to grow at a 15.8% CAGR through 2030, driven by hyperscaler AI infrastructure investment according to Yahoo Finance (https://finance.yahoo.com/news/data-center-storage-business-analysis-090300677.html?guccounter=1). Micron's Q2 FY2026 earnings showed that CNBU revenue contributed to over 56% of Micron’s total revenue. Q1 &amp; Q2 YoY growth for CNBU stands at 100% &amp; 162% respectively.</a:t>
          </a:r>
          <a:r>
            <a:rPr lang="en-US" sz="1400" b="0" i="0" u="none" strike="noStrike" baseline="0">
              <a:solidFill>
                <a:schemeClr val="dk1"/>
              </a:solidFill>
              <a:effectLst/>
              <a:latin typeface="+mn-lt"/>
              <a:ea typeface="+mn-ea"/>
              <a:cs typeface="+mn-cs"/>
            </a:rPr>
            <a:t> </a:t>
          </a:r>
          <a:r>
            <a:rPr lang="en-US" sz="1400" b="0" i="0" u="none" strike="noStrike">
              <a:solidFill>
                <a:schemeClr val="dk1"/>
              </a:solidFill>
              <a:effectLst/>
              <a:latin typeface="+mn-lt"/>
              <a:ea typeface="+mn-ea"/>
              <a:cs typeface="+mn-cs"/>
            </a:rPr>
            <a:t>The fact that HBM4 sales sold out in 2025 and have already sold out for 2026 indicate that demand is still very high. CNBU revenue growth is expected to remain elevated through at least 2027 as AI infrastructure investment accelerates. Micron management guided for robust demand growth in calendar 2027 and sees tight supply conditions extending beyond 2026.</a:t>
          </a:r>
          <a:endParaRPr lang="en-US" sz="1400" b="1" i="0" u="none" strike="noStrike">
            <a:solidFill>
              <a:schemeClr val="dk1"/>
            </a:solidFill>
            <a:effectLst/>
            <a:latin typeface="+mn-lt"/>
            <a:ea typeface="+mn-ea"/>
            <a:cs typeface="+mn-cs"/>
          </a:endParaRPr>
        </a:p>
        <a:p>
          <a:pPr lvl="0" rtl="0" fontAlgn="base"/>
          <a:endParaRPr lang="en-US" sz="1400" b="1" i="0" u="none" strike="noStrike">
            <a:solidFill>
              <a:schemeClr val="dk1"/>
            </a:solidFill>
            <a:effectLst/>
            <a:latin typeface="+mn-lt"/>
            <a:ea typeface="+mn-ea"/>
            <a:cs typeface="+mn-cs"/>
          </a:endParaRPr>
        </a:p>
        <a:p>
          <a:pPr lvl="0" rtl="0" fontAlgn="base"/>
          <a:r>
            <a:rPr lang="en-US" sz="1400" b="1" i="0" u="none" strike="noStrike">
              <a:solidFill>
                <a:schemeClr val="dk1"/>
              </a:solidFill>
              <a:effectLst/>
              <a:latin typeface="+mn-lt"/>
              <a:ea typeface="+mn-ea"/>
              <a:cs typeface="+mn-cs"/>
            </a:rPr>
            <a:t>Core Data Center Business Unit (CDBU)</a:t>
          </a:r>
        </a:p>
        <a:p>
          <a:pPr lvl="1" rtl="0" fontAlgn="base"/>
          <a:r>
            <a:rPr lang="en-US" sz="1400" b="0" i="0" u="none" strike="noStrike">
              <a:solidFill>
                <a:schemeClr val="dk1"/>
              </a:solidFill>
              <a:effectLst/>
              <a:latin typeface="+mn-lt"/>
              <a:ea typeface="+mn-ea"/>
              <a:cs typeface="+mn-cs"/>
            </a:rPr>
            <a:t>Enterprise SSDs: Enterprise SSDs are the clear growth driver. Management has emphasized Micron’s strong positioning in enterprise and cloud SSDs. Industry forecasts (McKinsey, Trendforce) project ~35% CAGR in bit demand through 2030. However, ongoing ASP decline means revenue growth will trail below demand. As a result, we assumed elevated near-term growth as hyperscalers expand AI clusters, tapering into high single digits in later years.</a:t>
          </a:r>
          <a:r>
            <a:rPr lang="en-US" sz="1400" b="0" i="0" u="none" strike="noStrike" baseline="0">
              <a:solidFill>
                <a:schemeClr val="dk1"/>
              </a:solidFill>
              <a:effectLst/>
              <a:latin typeface="+mn-lt"/>
              <a:ea typeface="+mn-ea"/>
              <a:cs typeface="+mn-cs"/>
            </a:rPr>
            <a:t> </a:t>
          </a:r>
          <a:r>
            <a:rPr lang="en-US" sz="1400" b="0" i="0" u="none" strike="noStrike">
              <a:solidFill>
                <a:schemeClr val="dk1"/>
              </a:solidFill>
              <a:effectLst/>
              <a:latin typeface="+mn-lt"/>
              <a:ea typeface="+mn-ea"/>
              <a:cs typeface="+mn-cs"/>
            </a:rPr>
            <a:t>Components: Projections were aligned with Global NAND flash market trends, which Yole projects a ~7% CAGR through 2030. We layer in short-term upside from pricing recovery in 2025, followed by steady mid-single-digit growth.</a:t>
          </a:r>
          <a:br>
            <a:rPr lang="en-US" sz="1400" b="1" i="0" u="none" strike="noStrike">
              <a:solidFill>
                <a:schemeClr val="dk1"/>
              </a:solidFill>
              <a:effectLst/>
              <a:latin typeface="+mn-lt"/>
              <a:ea typeface="+mn-ea"/>
              <a:cs typeface="+mn-cs"/>
            </a:rPr>
          </a:br>
          <a:endParaRPr lang="en-US" sz="1400" b="1" i="0" u="none" strike="noStrike">
            <a:solidFill>
              <a:schemeClr val="dk1"/>
            </a:solidFill>
            <a:effectLst/>
            <a:latin typeface="+mn-lt"/>
            <a:ea typeface="+mn-ea"/>
            <a:cs typeface="+mn-cs"/>
          </a:endParaRPr>
        </a:p>
        <a:p>
          <a:pPr lvl="0" rtl="0" fontAlgn="base"/>
          <a:endParaRPr lang="en-US" sz="1400" b="1" i="0" u="none" strike="noStrike">
            <a:solidFill>
              <a:schemeClr val="dk1"/>
            </a:solidFill>
            <a:effectLst/>
            <a:latin typeface="+mn-lt"/>
            <a:ea typeface="+mn-ea"/>
            <a:cs typeface="+mn-cs"/>
          </a:endParaRPr>
        </a:p>
        <a:p>
          <a:pPr lvl="0" rtl="0" fontAlgn="base"/>
          <a:r>
            <a:rPr lang="en-US" sz="1400" b="1" i="0" u="none" strike="noStrike">
              <a:solidFill>
                <a:schemeClr val="dk1"/>
              </a:solidFill>
              <a:effectLst/>
              <a:latin typeface="+mn-lt"/>
              <a:ea typeface="+mn-ea"/>
              <a:cs typeface="+mn-cs"/>
            </a:rPr>
            <a:t>Mobile and Client Business Unit (MCBU)</a:t>
          </a:r>
          <a:endParaRPr lang="en-US" sz="1400" b="0" i="0" u="none" strike="noStrike">
            <a:solidFill>
              <a:schemeClr val="dk1"/>
            </a:solidFill>
            <a:effectLst/>
            <a:latin typeface="+mn-lt"/>
            <a:ea typeface="+mn-ea"/>
            <a:cs typeface="+mn-cs"/>
          </a:endParaRPr>
        </a:p>
        <a:p>
          <a:pPr lvl="1" rtl="0" fontAlgn="base"/>
          <a:r>
            <a:rPr lang="en-US" sz="1400" b="0" i="0" u="none" strike="noStrike">
              <a:solidFill>
                <a:schemeClr val="dk1"/>
              </a:solidFill>
              <a:effectLst/>
              <a:latin typeface="+mn-lt"/>
              <a:ea typeface="+mn-ea"/>
              <a:cs typeface="+mn-cs"/>
            </a:rPr>
            <a:t>Micron’s Mobile Business Unit is tied to smartphone and mobile device demand, which is projected to grow only modestly (~3.8% unit CAGR through 2030). However, bit demand per device is accelerating: LPDDR content is increasing 15–20% annually, and UFS solutions are ramping as AI-enabled phones require more bandwidth and storage.</a:t>
          </a:r>
          <a:r>
            <a:rPr lang="en-US" sz="1400" b="0" i="0" u="none" strike="noStrike" baseline="0">
              <a:solidFill>
                <a:schemeClr val="dk1"/>
              </a:solidFill>
              <a:effectLst/>
              <a:latin typeface="+mn-lt"/>
              <a:ea typeface="+mn-ea"/>
              <a:cs typeface="+mn-cs"/>
            </a:rPr>
            <a:t> </a:t>
          </a:r>
          <a:r>
            <a:rPr lang="en-US" sz="1400" b="0" i="0" u="none" strike="noStrike">
              <a:solidFill>
                <a:schemeClr val="dk1"/>
              </a:solidFill>
              <a:effectLst/>
              <a:latin typeface="+mn-lt"/>
              <a:ea typeface="+mn-ea"/>
              <a:cs typeface="+mn-cs"/>
            </a:rPr>
            <a:t>Yole forecasts mobile memory as part of an $80B market in 2025, expanding at a 12% CAGR to 2033, while McKinsey (https://www.mckinsey.com/industries/semiconductors/our-insights/generative-ai-spurs-new-demand-for-enterprise-ssds#/) notes global memory could grow 17–23% on AI demand. We assume Micron tracks these trends, with revenue growth led by premium LPDDR5X/LPDDR6 and UFS4.0 penetration.</a:t>
          </a:r>
        </a:p>
        <a:p>
          <a:pPr lvl="3" rtl="0" fontAlgn="base"/>
          <a:r>
            <a:rPr lang="en-US" sz="1400" b="0" i="0" u="none" strike="noStrike">
              <a:solidFill>
                <a:schemeClr val="dk1"/>
              </a:solidFill>
              <a:effectLst/>
              <a:latin typeface="+mn-lt"/>
              <a:ea typeface="+mn-ea"/>
              <a:cs typeface="+mn-cs"/>
            </a:rPr>
            <a:t>We projected an increase in the growth rate, because AI in smartphones is still pretty rudimentary. We predict that growth will peak in 2027 due to the prediction that we will reach AGI by 2027. We expect growth to taper of from there.</a:t>
          </a:r>
          <a:endParaRPr lang="en-US" sz="1400" b="1" i="0" u="none" strike="noStrike">
            <a:solidFill>
              <a:schemeClr val="dk1"/>
            </a:solidFill>
            <a:effectLst/>
            <a:latin typeface="+mn-lt"/>
            <a:ea typeface="+mn-ea"/>
            <a:cs typeface="+mn-cs"/>
          </a:endParaRPr>
        </a:p>
        <a:p>
          <a:pPr lvl="1" rtl="0" fontAlgn="base"/>
          <a:r>
            <a:rPr lang="en-US" sz="1400" b="0" i="0" u="none" strike="noStrike">
              <a:solidFill>
                <a:schemeClr val="dk1"/>
              </a:solidFill>
              <a:effectLst/>
              <a:latin typeface="+mn-lt"/>
              <a:ea typeface="+mn-ea"/>
              <a:cs typeface="+mn-cs"/>
            </a:rPr>
            <a:t>Client &amp; Consumer SSDs: Client &amp; consumer SSDs are mature, with PC shipments projected flat to slightly negative. We assumed this segment remains essentially flat, aside from a modest 2025 refresh cycle.</a:t>
          </a:r>
        </a:p>
        <a:p>
          <a:pPr lvl="0" rtl="0" fontAlgn="base"/>
          <a:endParaRPr lang="en-US" sz="1400" b="1" i="0" u="none" strike="noStrike">
            <a:solidFill>
              <a:schemeClr val="dk1"/>
            </a:solidFill>
            <a:effectLst/>
            <a:latin typeface="+mn-lt"/>
            <a:ea typeface="+mn-ea"/>
            <a:cs typeface="+mn-cs"/>
          </a:endParaRPr>
        </a:p>
        <a:p>
          <a:pPr lvl="0" rtl="0" fontAlgn="base"/>
          <a:r>
            <a:rPr lang="en-US" sz="1400" b="1" i="0" u="none" strike="noStrike">
              <a:solidFill>
                <a:schemeClr val="dk1"/>
              </a:solidFill>
              <a:effectLst/>
              <a:latin typeface="+mn-lt"/>
              <a:ea typeface="+mn-ea"/>
              <a:cs typeface="+mn-cs"/>
            </a:rPr>
            <a:t>Automotive and Embedded Business Unit (AEBU) consists of 3 categories: </a:t>
          </a:r>
          <a:endParaRPr lang="en-US" sz="1400" b="0" i="0" u="none" strike="noStrike">
            <a:solidFill>
              <a:schemeClr val="dk1"/>
            </a:solidFill>
            <a:effectLst/>
            <a:latin typeface="+mn-lt"/>
            <a:ea typeface="+mn-ea"/>
            <a:cs typeface="+mn-cs"/>
          </a:endParaRPr>
        </a:p>
        <a:p>
          <a:pPr lvl="1" rtl="0" fontAlgn="base"/>
          <a:r>
            <a:rPr lang="en-US" sz="1400" b="0" i="0" u="none" strike="noStrike">
              <a:solidFill>
                <a:schemeClr val="dk1"/>
              </a:solidFill>
              <a:effectLst/>
              <a:latin typeface="+mn-lt"/>
              <a:ea typeface="+mn-ea"/>
              <a:cs typeface="+mn-cs"/>
            </a:rPr>
            <a:t>Automotive:</a:t>
          </a:r>
        </a:p>
        <a:p>
          <a:pPr lvl="2" rtl="0" fontAlgn="base"/>
          <a:r>
            <a:rPr lang="en-US" sz="1400" b="0" i="0" u="none" strike="noStrike">
              <a:solidFill>
                <a:schemeClr val="dk1"/>
              </a:solidFill>
              <a:effectLst/>
              <a:latin typeface="+mn-lt"/>
              <a:ea typeface="+mn-ea"/>
              <a:cs typeface="+mn-cs"/>
            </a:rPr>
            <a:t>AI integration in cars, Lidar and other safety features, autonomous vehicles all demand a substantially higher amount of memory than current vehicles. As safety features become more advanced and mainstream across body trims, so will the demand for storage. Smart</a:t>
          </a:r>
          <a:r>
            <a:rPr lang="en-US" sz="1400" b="0" i="0" u="none" strike="noStrike" baseline="0">
              <a:solidFill>
                <a:schemeClr val="dk1"/>
              </a:solidFill>
              <a:effectLst/>
              <a:latin typeface="+mn-lt"/>
              <a:ea typeface="+mn-ea"/>
              <a:cs typeface="+mn-cs"/>
            </a:rPr>
            <a:t> Semi</a:t>
          </a:r>
          <a:r>
            <a:rPr lang="en-US" sz="1400" b="0" i="0" u="none" strike="noStrike">
              <a:solidFill>
                <a:schemeClr val="dk1"/>
              </a:solidFill>
              <a:effectLst/>
              <a:latin typeface="+mn-lt"/>
              <a:ea typeface="+mn-ea"/>
              <a:cs typeface="+mn-cs"/>
            </a:rPr>
            <a:t>(</a:t>
          </a:r>
          <a:r>
            <a:rPr lang="en-US" sz="1400" b="0" i="0">
              <a:solidFill>
                <a:schemeClr val="dk1"/>
              </a:solidFill>
              <a:effectLst/>
              <a:latin typeface="+mn-lt"/>
              <a:ea typeface="+mn-ea"/>
              <a:cs typeface="+mn-cs"/>
            </a:rPr>
            <a:t>https://smartsemi.com/the-road-ahead-dram-fueling-automotive-trends/)</a:t>
          </a:r>
          <a:r>
            <a:rPr lang="en-US" sz="1400" b="0" i="0" u="none" strike="noStrike">
              <a:solidFill>
                <a:schemeClr val="dk1"/>
              </a:solidFill>
              <a:effectLst/>
              <a:latin typeface="+mn-lt"/>
              <a:ea typeface="+mn-ea"/>
              <a:cs typeface="+mn-cs"/>
            </a:rPr>
            <a:t>, predicts that the automotive memory market is expected to grow on a 15.3% CAGR.</a:t>
          </a:r>
        </a:p>
        <a:p>
          <a:pPr lvl="1" rtl="0" fontAlgn="base"/>
          <a:r>
            <a:rPr lang="en-US" sz="1400" b="0" i="0" u="none" strike="noStrike">
              <a:solidFill>
                <a:schemeClr val="dk1"/>
              </a:solidFill>
              <a:effectLst/>
              <a:latin typeface="+mn-lt"/>
              <a:ea typeface="+mn-ea"/>
              <a:cs typeface="+mn-cs"/>
            </a:rPr>
            <a:t>Consumer electronics: </a:t>
          </a:r>
        </a:p>
        <a:p>
          <a:pPr lvl="2" rtl="0" fontAlgn="base"/>
          <a:r>
            <a:rPr lang="en-US" sz="1400" b="0" i="0" u="none" strike="noStrike">
              <a:solidFill>
                <a:schemeClr val="dk1"/>
              </a:solidFill>
              <a:effectLst/>
              <a:latin typeface="+mn-lt"/>
              <a:ea typeface="+mn-ea"/>
              <a:cs typeface="+mn-cs"/>
            </a:rPr>
            <a:t>For 2026, Micron expects</a:t>
          </a:r>
          <a:r>
            <a:rPr lang="en-US" sz="1400" b="0" i="0" u="none" strike="noStrike" baseline="0">
              <a:solidFill>
                <a:schemeClr val="dk1"/>
              </a:solidFill>
              <a:effectLst/>
              <a:latin typeface="+mn-lt"/>
              <a:ea typeface="+mn-ea"/>
              <a:cs typeface="+mn-cs"/>
            </a:rPr>
            <a:t> sales to PC and smartphone units to decline due to supply contraints. However, they expect that on-device AI will soon drive strong memory demand for these devices in the future.</a:t>
          </a:r>
          <a:r>
            <a:rPr lang="en-US" sz="1400" b="0" i="0" u="none" strike="noStrike">
              <a:solidFill>
                <a:schemeClr val="dk1"/>
              </a:solidFill>
              <a:effectLst/>
              <a:latin typeface="+mn-lt"/>
              <a:ea typeface="+mn-ea"/>
              <a:cs typeface="+mn-cs"/>
            </a:rPr>
            <a:t> Global</a:t>
          </a:r>
          <a:r>
            <a:rPr lang="en-US" sz="1400" b="0" i="0" u="none" strike="noStrike" baseline="0">
              <a:solidFill>
                <a:schemeClr val="dk1"/>
              </a:solidFill>
              <a:effectLst/>
              <a:latin typeface="+mn-lt"/>
              <a:ea typeface="+mn-ea"/>
              <a:cs typeface="+mn-cs"/>
            </a:rPr>
            <a:t> consumer electronics </a:t>
          </a:r>
          <a:r>
            <a:rPr lang="en-US" sz="1400" b="0" i="0" u="none" strike="noStrike">
              <a:solidFill>
                <a:schemeClr val="dk1"/>
              </a:solidFill>
              <a:effectLst/>
              <a:latin typeface="+mn-lt"/>
              <a:ea typeface="+mn-ea"/>
              <a:cs typeface="+mn-cs"/>
            </a:rPr>
            <a:t>(</a:t>
          </a:r>
          <a:r>
            <a:rPr lang="en-US" sz="1400" b="0" i="0">
              <a:solidFill>
                <a:schemeClr val="dk1"/>
              </a:solidFill>
              <a:effectLst/>
              <a:latin typeface="+mn-lt"/>
              <a:ea typeface="+mn-ea"/>
              <a:cs typeface="+mn-cs"/>
            </a:rPr>
            <a:t>https://my-ibisworld-com.libproxy1.usc.edu/gl/en/industry/C2525-GL/performance) </a:t>
          </a:r>
          <a:r>
            <a:rPr lang="en-US" sz="1400" b="0" i="0" u="none" strike="noStrike">
              <a:solidFill>
                <a:schemeClr val="dk1"/>
              </a:solidFill>
              <a:effectLst/>
              <a:latin typeface="+mn-lt"/>
              <a:ea typeface="+mn-ea"/>
              <a:cs typeface="+mn-cs"/>
            </a:rPr>
            <a:t>projects growth in the single digits - roughly 3% each year.</a:t>
          </a:r>
        </a:p>
        <a:p>
          <a:pPr lvl="1" rtl="0" fontAlgn="base"/>
          <a:r>
            <a:rPr lang="en-US" sz="1400" b="0" i="0" u="none" strike="noStrike">
              <a:solidFill>
                <a:schemeClr val="dk1"/>
              </a:solidFill>
              <a:effectLst/>
              <a:latin typeface="+mn-lt"/>
              <a:ea typeface="+mn-ea"/>
              <a:cs typeface="+mn-cs"/>
            </a:rPr>
            <a:t>Industrial:</a:t>
          </a:r>
        </a:p>
        <a:p>
          <a:pPr lvl="2" rtl="0" fontAlgn="base"/>
          <a:r>
            <a:rPr lang="en-US" sz="1400" b="0" i="0" u="none" strike="noStrike">
              <a:solidFill>
                <a:schemeClr val="dk1"/>
              </a:solidFill>
              <a:effectLst/>
              <a:latin typeface="+mn-lt"/>
              <a:ea typeface="+mn-ea"/>
              <a:cs typeface="+mn-cs"/>
            </a:rPr>
            <a:t>Per </a:t>
          </a:r>
          <a:r>
            <a:rPr lang="en-US" sz="1400" b="0" i="0" u="none" strike="noStrike" baseline="0">
              <a:solidFill>
                <a:schemeClr val="dk1"/>
              </a:solidFill>
              <a:effectLst/>
              <a:latin typeface="+mn-lt"/>
              <a:ea typeface="+mn-ea"/>
              <a:cs typeface="+mn-cs"/>
            </a:rPr>
            <a:t> industrial (</a:t>
          </a:r>
          <a:r>
            <a:rPr lang="en-US" sz="1400" b="0" i="0">
              <a:solidFill>
                <a:schemeClr val="dk1"/>
              </a:solidFill>
              <a:effectLst/>
              <a:latin typeface="+mn-lt"/>
              <a:ea typeface="+mn-ea"/>
              <a:cs typeface="+mn-cs"/>
            </a:rPr>
            <a:t>https://www.statista.com/outlook/tmo/internet-of-things/industrial-iot/united-states) </a:t>
          </a:r>
          <a:r>
            <a:rPr lang="en-US" sz="1400" b="0" i="0" u="none" strike="noStrike">
              <a:solidFill>
                <a:schemeClr val="dk1"/>
              </a:solidFill>
              <a:effectLst/>
              <a:latin typeface="+mn-lt"/>
              <a:ea typeface="+mn-ea"/>
              <a:cs typeface="+mn-cs"/>
            </a:rPr>
            <a:t>data, growth rate of  steady CAGR 12.11%.</a:t>
          </a:r>
        </a:p>
        <a:p>
          <a:pPr rtl="0" fontAlgn="base"/>
          <a:r>
            <a:rPr lang="en-US" sz="1400" b="1" i="0" u="none" strike="noStrike" baseline="0">
              <a:solidFill>
                <a:schemeClr val="dk1"/>
              </a:solidFill>
              <a:effectLst/>
              <a:latin typeface="+mn-lt"/>
              <a:ea typeface="+mn-ea"/>
              <a:cs typeface="+mn-cs"/>
            </a:rPr>
            <a:t>               </a:t>
          </a:r>
          <a:r>
            <a:rPr lang="en-US" sz="1400" b="1" i="0" u="none" strike="noStrike">
              <a:solidFill>
                <a:schemeClr val="dk1"/>
              </a:solidFill>
              <a:effectLst/>
              <a:latin typeface="+mn-lt"/>
              <a:ea typeface="+mn-ea"/>
              <a:cs typeface="+mn-cs"/>
            </a:rPr>
            <a:t>Breaking the EBU Down:</a:t>
          </a:r>
        </a:p>
        <a:p>
          <a:pPr lvl="1" rtl="0" fontAlgn="base"/>
          <a:r>
            <a:rPr lang="en-US" sz="1400" b="0" i="0" u="none" strike="noStrike">
              <a:solidFill>
                <a:schemeClr val="dk1"/>
              </a:solidFill>
              <a:effectLst/>
              <a:latin typeface="+mn-lt"/>
              <a:ea typeface="+mn-ea"/>
              <a:cs typeface="+mn-cs"/>
            </a:rPr>
            <a:t>	Since Micron does not detail the weight of each segment in their EBU, we made the following assumptions: </a:t>
          </a:r>
          <a:endParaRPr lang="en-US" sz="1400" b="1" i="0" u="none" strike="noStrike">
            <a:solidFill>
              <a:schemeClr val="dk1"/>
            </a:solidFill>
            <a:effectLst/>
            <a:latin typeface="+mn-lt"/>
            <a:ea typeface="+mn-ea"/>
            <a:cs typeface="+mn-cs"/>
          </a:endParaRPr>
        </a:p>
        <a:p>
          <a:pPr lvl="2" rtl="0" fontAlgn="base"/>
          <a:r>
            <a:rPr lang="en-US" sz="1400" b="0" i="0" u="none" strike="noStrike">
              <a:solidFill>
                <a:schemeClr val="dk1"/>
              </a:solidFill>
              <a:effectLst/>
              <a:latin typeface="+mn-lt"/>
              <a:ea typeface="+mn-ea"/>
              <a:cs typeface="+mn-cs"/>
            </a:rPr>
            <a:t>	- Weigh automotive at 60%. This is our best guess based on their earnings report which detail automotive makes the majority of EBU revenue. We expect automotive growth to increase </a:t>
          </a:r>
          <a:r>
            <a:rPr lang="en-US" sz="1400" b="0" i="0" u="none" strike="noStrike" baseline="0">
              <a:solidFill>
                <a:schemeClr val="dk1"/>
              </a:solidFill>
              <a:effectLst/>
              <a:latin typeface="+mn-lt"/>
              <a:ea typeface="+mn-ea"/>
              <a:cs typeface="+mn-cs"/>
            </a:rPr>
            <a:t> </a:t>
          </a:r>
          <a:r>
            <a:rPr lang="en-US" sz="1400" b="0" i="0" u="none" strike="noStrike">
              <a:solidFill>
                <a:schemeClr val="dk1"/>
              </a:solidFill>
              <a:effectLst/>
              <a:latin typeface="+mn-lt"/>
              <a:ea typeface="+mn-ea"/>
              <a:cs typeface="+mn-cs"/>
            </a:rPr>
            <a:t>YoY as AI gets           	integrated more into cars and peak in 2027 which is when AI is expected to reach artificial general intelligence (AGI).</a:t>
          </a:r>
          <a:r>
            <a:rPr lang="en-US" sz="1400" b="1" i="0" u="none" strike="noStrike" baseline="0">
              <a:solidFill>
                <a:schemeClr val="dk1"/>
              </a:solidFill>
              <a:effectLst/>
              <a:latin typeface="+mn-lt"/>
              <a:ea typeface="+mn-ea"/>
              <a:cs typeface="+mn-cs"/>
            </a:rPr>
            <a:t> </a:t>
          </a:r>
        </a:p>
        <a:p>
          <a:pPr lvl="2" rtl="0" fontAlgn="base"/>
          <a:r>
            <a:rPr lang="en-US" sz="1400" b="1" i="0" u="none" strike="noStrike" baseline="0">
              <a:solidFill>
                <a:schemeClr val="dk1"/>
              </a:solidFill>
              <a:effectLst/>
              <a:latin typeface="+mn-lt"/>
              <a:ea typeface="+mn-ea"/>
              <a:cs typeface="+mn-cs"/>
            </a:rPr>
            <a:t>	- </a:t>
          </a:r>
          <a:r>
            <a:rPr lang="en-US" sz="1400" b="0" i="0" u="none" strike="noStrike">
              <a:solidFill>
                <a:schemeClr val="dk1"/>
              </a:solidFill>
              <a:effectLst/>
              <a:latin typeface="+mn-lt"/>
              <a:ea typeface="+mn-ea"/>
              <a:cs typeface="+mn-cs"/>
            </a:rPr>
            <a:t>Weigh Industrial at 20%. We expect industrial growth to increase a bit due to increasing adoption of AI in the industrial workspace. Nevertheless, we acknowledge that adoption will be</a:t>
          </a:r>
          <a:r>
            <a:rPr lang="en-US" sz="1400" b="0" i="0" u="none" strike="noStrike" baseline="0">
              <a:solidFill>
                <a:schemeClr val="dk1"/>
              </a:solidFill>
              <a:effectLst/>
              <a:latin typeface="+mn-lt"/>
              <a:ea typeface="+mn-ea"/>
              <a:cs typeface="+mn-cs"/>
            </a:rPr>
            <a:t> </a:t>
          </a:r>
          <a:r>
            <a:rPr lang="en-US" sz="1400" b="0" i="0" u="none" strike="noStrike">
              <a:solidFill>
                <a:schemeClr val="dk1"/>
              </a:solidFill>
              <a:effectLst/>
              <a:latin typeface="+mn-lt"/>
              <a:ea typeface="+mn-ea"/>
              <a:cs typeface="+mn-cs"/>
            </a:rPr>
            <a:t>slower than 	automotive given that industrial lags behind in adopting new tech.</a:t>
          </a:r>
          <a:r>
            <a:rPr lang="en-US" sz="1400" b="1" i="0" u="none" strike="noStrike" baseline="0">
              <a:solidFill>
                <a:schemeClr val="dk1"/>
              </a:solidFill>
              <a:effectLst/>
              <a:latin typeface="+mn-lt"/>
              <a:ea typeface="+mn-ea"/>
              <a:cs typeface="+mn-cs"/>
            </a:rPr>
            <a:t> </a:t>
          </a:r>
        </a:p>
        <a:p>
          <a:pPr lvl="2" rtl="0" fontAlgn="base"/>
          <a:r>
            <a:rPr lang="en-US" sz="1400" b="1" i="0" u="none" strike="noStrike" baseline="0">
              <a:solidFill>
                <a:schemeClr val="dk1"/>
              </a:solidFill>
              <a:effectLst/>
              <a:latin typeface="+mn-lt"/>
              <a:ea typeface="+mn-ea"/>
              <a:cs typeface="+mn-cs"/>
            </a:rPr>
            <a:t>	- </a:t>
          </a:r>
          <a:r>
            <a:rPr lang="en-US" sz="1400" b="0" i="0" u="none" strike="noStrike">
              <a:solidFill>
                <a:schemeClr val="dk1"/>
              </a:solidFill>
              <a:effectLst/>
              <a:latin typeface="+mn-lt"/>
              <a:ea typeface="+mn-ea"/>
              <a:cs typeface="+mn-cs"/>
            </a:rPr>
            <a:t>We weigh consumers at 20% of revenue. We expect this revenue growth to remain constant throughout the projection period in line with industry expectations.</a:t>
          </a:r>
          <a:endParaRPr lang="en-US" sz="1400" b="1" i="0" u="none" strike="noStrike">
            <a:solidFill>
              <a:schemeClr val="dk1"/>
            </a:solidFill>
            <a:effectLst/>
            <a:latin typeface="+mn-lt"/>
            <a:ea typeface="+mn-ea"/>
            <a:cs typeface="+mn-cs"/>
          </a:endParaRPr>
        </a:p>
        <a:p>
          <a:pPr marL="457200" marR="0" lvl="1" indent="0" defTabSz="914400" rtl="0" eaLnBrk="1" fontAlgn="base"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lvl="0" rtl="0" fontAlgn="base"/>
          <a:r>
            <a:rPr lang="en-US" sz="1400" b="1" i="0" u="none" strike="noStrike">
              <a:solidFill>
                <a:sysClr val="windowText" lastClr="000000"/>
              </a:solidFill>
              <a:effectLst/>
              <a:latin typeface="+mn-lt"/>
              <a:ea typeface="+mn-ea"/>
              <a:cs typeface="+mn-cs"/>
            </a:rPr>
            <a:t>Other Revenue:</a:t>
          </a:r>
        </a:p>
        <a:p>
          <a:pPr lvl="1" rtl="0" fontAlgn="base"/>
          <a:r>
            <a:rPr lang="en-US" sz="1400" b="0" i="0">
              <a:solidFill>
                <a:schemeClr val="dk1"/>
              </a:solidFill>
              <a:effectLst/>
              <a:latin typeface="+mn-lt"/>
              <a:ea typeface="+mn-ea"/>
              <a:cs typeface="+mn-cs"/>
            </a:rPr>
            <a:t>Micron does not detail what falls into their “all other” revenue category. Due to this, as well as its rather immaterial contribution to overall revenue, we assume a  YoY</a:t>
          </a:r>
          <a:r>
            <a:rPr lang="en-US" sz="1400" b="0" i="0" baseline="0">
              <a:solidFill>
                <a:schemeClr val="dk1"/>
              </a:solidFill>
              <a:effectLst/>
              <a:latin typeface="+mn-lt"/>
              <a:ea typeface="+mn-ea"/>
              <a:cs typeface="+mn-cs"/>
            </a:rPr>
            <a:t> </a:t>
          </a:r>
          <a:r>
            <a:rPr lang="en-US" sz="1400" b="0" i="0">
              <a:solidFill>
                <a:schemeClr val="dk1"/>
              </a:solidFill>
              <a:effectLst/>
              <a:latin typeface="+mn-lt"/>
              <a:ea typeface="+mn-ea"/>
              <a:cs typeface="+mn-cs"/>
            </a:rPr>
            <a:t>growth rate of 0%.</a:t>
          </a:r>
          <a:endParaRPr lang="en-US" sz="1400">
            <a:effectLst/>
          </a:endParaRPr>
        </a:p>
        <a:p>
          <a:pPr lvl="0" rtl="0" fontAlgn="base"/>
          <a:endParaRPr lang="en-US" sz="1400" b="0" i="0" u="none" strike="noStrike">
            <a:solidFill>
              <a:sysClr val="windowText" lastClr="000000"/>
            </a:solidFill>
            <a:effectLst/>
            <a:latin typeface="+mn-lt"/>
            <a:ea typeface="+mn-ea"/>
            <a:cs typeface="+mn-cs"/>
          </a:endParaRPr>
        </a:p>
        <a:p>
          <a:pPr lvl="0" rtl="0" fontAlgn="base"/>
          <a:endParaRPr lang="en-US" sz="1400" b="0" i="0" u="none" strike="noStrike">
            <a:solidFill>
              <a:sysClr val="windowText" lastClr="000000"/>
            </a:solidFill>
            <a:effectLst/>
            <a:latin typeface="+mn-lt"/>
            <a:ea typeface="+mn-ea"/>
            <a:cs typeface="+mn-cs"/>
          </a:endParaRPr>
        </a:p>
        <a:p>
          <a:pPr lvl="0" rtl="0" fontAlgn="base"/>
          <a:r>
            <a:rPr lang="en-US" sz="1800" b="1" i="0" u="sng" strike="noStrike">
              <a:solidFill>
                <a:sysClr val="windowText" lastClr="000000"/>
              </a:solidFill>
              <a:effectLst/>
              <a:latin typeface="+mn-lt"/>
              <a:ea typeface="+mn-ea"/>
              <a:cs typeface="+mn-cs"/>
            </a:rPr>
            <a:t>Cost of Sales</a:t>
          </a:r>
        </a:p>
        <a:p>
          <a:pPr marL="457200" marR="0" lvl="1" indent="0" defTabSz="914400" rtl="0" eaLnBrk="1" fontAlgn="base" latinLnBrk="0" hangingPunct="1">
            <a:lnSpc>
              <a:spcPct val="100000"/>
            </a:lnSpc>
            <a:spcBef>
              <a:spcPts val="0"/>
            </a:spcBef>
            <a:spcAft>
              <a:spcPts val="0"/>
            </a:spcAft>
            <a:buClrTx/>
            <a:buSzTx/>
            <a:buFontTx/>
            <a:buNone/>
            <a:tabLst/>
            <a:defRPr/>
          </a:pPr>
          <a:r>
            <a:rPr lang="en-US" sz="1400" b="0" i="0">
              <a:solidFill>
                <a:schemeClr val="dk1"/>
              </a:solidFill>
              <a:effectLst/>
              <a:latin typeface="+mn-lt"/>
              <a:ea typeface="+mn-ea"/>
              <a:cs typeface="+mn-cs"/>
            </a:rPr>
            <a:t>Barring</a:t>
          </a:r>
          <a:r>
            <a:rPr lang="en-US" sz="1400" b="0" i="0" baseline="0">
              <a:solidFill>
                <a:schemeClr val="dk1"/>
              </a:solidFill>
              <a:effectLst/>
              <a:latin typeface="+mn-lt"/>
              <a:ea typeface="+mn-ea"/>
              <a:cs typeface="+mn-cs"/>
            </a:rPr>
            <a:t> outlier years, Micron's cost of sales remains consistent around 55-60% of revenue. </a:t>
          </a:r>
          <a:r>
            <a:rPr lang="en-US" sz="1400" b="0" i="0">
              <a:solidFill>
                <a:schemeClr val="dk1"/>
              </a:solidFill>
              <a:effectLst/>
              <a:latin typeface="+mn-lt"/>
              <a:ea typeface="+mn-ea"/>
              <a:cs typeface="+mn-cs"/>
            </a:rPr>
            <a:t>Still, because memory markets are highly cyclical and Micron faces risks like oversupply, high fixed costs, and geopolitical challenges, we model another downturn by the middle of the projection in line with historical downturns. Over the long run, we assume Micron’s cost</a:t>
          </a:r>
          <a:r>
            <a:rPr lang="en-US" sz="1400" b="0" i="0" baseline="0">
              <a:solidFill>
                <a:schemeClr val="dk1"/>
              </a:solidFill>
              <a:effectLst/>
              <a:latin typeface="+mn-lt"/>
              <a:ea typeface="+mn-ea"/>
              <a:cs typeface="+mn-cs"/>
            </a:rPr>
            <a:t> of sales as a percent of revenue</a:t>
          </a:r>
          <a:r>
            <a:rPr lang="en-US" sz="1400" b="0" i="0">
              <a:solidFill>
                <a:schemeClr val="dk1"/>
              </a:solidFill>
              <a:effectLst/>
              <a:latin typeface="+mn-lt"/>
              <a:ea typeface="+mn-ea"/>
              <a:cs typeface="+mn-cs"/>
            </a:rPr>
            <a:t> will average in the high 50s, in tune with historical margins.</a:t>
          </a:r>
          <a:endParaRPr lang="en-US" sz="1400">
            <a:effectLst/>
          </a:endParaRPr>
        </a:p>
        <a:p>
          <a:pPr lvl="0" rtl="0" fontAlgn="base"/>
          <a:endParaRPr lang="en-US" sz="1400" b="0" i="0" u="none" strike="noStrike">
            <a:solidFill>
              <a:sysClr val="windowText" lastClr="000000"/>
            </a:solidFill>
            <a:effectLst/>
            <a:latin typeface="+mn-lt"/>
            <a:ea typeface="+mn-ea"/>
            <a:cs typeface="+mn-cs"/>
          </a:endParaRPr>
        </a:p>
        <a:p>
          <a:pPr lvl="0" rtl="0" fontAlgn="base"/>
          <a:endParaRPr lang="en-US" sz="1400" b="0" i="0" u="none" strike="noStrike">
            <a:solidFill>
              <a:sysClr val="windowText" lastClr="000000"/>
            </a:solidFill>
            <a:effectLst/>
            <a:latin typeface="+mn-lt"/>
            <a:ea typeface="+mn-ea"/>
            <a:cs typeface="+mn-cs"/>
          </a:endParaRPr>
        </a:p>
        <a:p>
          <a:pPr rtl="0"/>
          <a:r>
            <a:rPr lang="en-US" sz="2000" b="1" i="0" u="sng">
              <a:solidFill>
                <a:schemeClr val="dk1"/>
              </a:solidFill>
              <a:effectLst/>
              <a:latin typeface="+mn-lt"/>
              <a:ea typeface="+mn-ea"/>
              <a:cs typeface="+mn-cs"/>
            </a:rPr>
            <a:t>SG&amp;A </a:t>
          </a:r>
          <a:endParaRPr lang="en-US" sz="2000">
            <a:effectLst/>
          </a:endParaRPr>
        </a:p>
        <a:p>
          <a:pPr lvl="1" rtl="0" fontAlgn="base"/>
          <a:r>
            <a:rPr lang="en-US" sz="1400" b="0" i="0">
              <a:solidFill>
                <a:schemeClr val="dk1"/>
              </a:solidFill>
              <a:effectLst/>
              <a:latin typeface="+mn-lt"/>
              <a:ea typeface="+mn-ea"/>
              <a:cs typeface="+mn-cs"/>
            </a:rPr>
            <a:t>SG&amp;A was held constant as a percentage of revenue, reflecting the scaling nature of Micron’s business. Barring</a:t>
          </a:r>
          <a:r>
            <a:rPr lang="en-US" sz="1400" b="0" i="0" baseline="0">
              <a:solidFill>
                <a:schemeClr val="dk1"/>
              </a:solidFill>
              <a:effectLst/>
              <a:latin typeface="+mn-lt"/>
              <a:ea typeface="+mn-ea"/>
              <a:cs typeface="+mn-cs"/>
            </a:rPr>
            <a:t> outlier years Micron averaged 3.5% of revenue.</a:t>
          </a:r>
        </a:p>
        <a:p>
          <a:pPr lvl="1" rtl="0" fontAlgn="base"/>
          <a:endParaRPr lang="en-US" sz="1400" b="0" i="0" u="none" strike="noStrike" baseline="0">
            <a:solidFill>
              <a:sysClr val="windowText" lastClr="000000"/>
            </a:solidFill>
            <a:effectLst/>
            <a:latin typeface="+mn-lt"/>
            <a:ea typeface="+mn-ea"/>
            <a:cs typeface="+mn-cs"/>
          </a:endParaRPr>
        </a:p>
        <a:p>
          <a:pPr lvl="0" rtl="0" fontAlgn="base"/>
          <a:r>
            <a:rPr lang="en-US" sz="1800" b="1" i="0" u="sng" strike="noStrike" baseline="0">
              <a:solidFill>
                <a:sysClr val="windowText" lastClr="000000"/>
              </a:solidFill>
              <a:effectLst/>
              <a:latin typeface="+mn-lt"/>
              <a:ea typeface="+mn-ea"/>
              <a:cs typeface="+mn-cs"/>
            </a:rPr>
            <a:t>R&amp;D</a:t>
          </a:r>
        </a:p>
        <a:p>
          <a:pPr lvl="1" rtl="0" fontAlgn="base"/>
          <a:r>
            <a:rPr lang="en-US" sz="1400" b="0" i="0" u="none" strike="noStrike" baseline="0">
              <a:solidFill>
                <a:sysClr val="windowText" lastClr="000000"/>
              </a:solidFill>
              <a:effectLst/>
              <a:latin typeface="+mn-lt"/>
              <a:ea typeface="+mn-ea"/>
              <a:cs typeface="+mn-cs"/>
            </a:rPr>
            <a:t>R&amp;D will start high at 10% of revenue in order to meet Micron's pledge of 50BN in R&amp;D spend over the next decades, tapering down as revenue increases.</a:t>
          </a:r>
        </a:p>
        <a:p>
          <a:pPr lvl="1" rtl="0" fontAlgn="base"/>
          <a:endParaRPr lang="en-US" sz="1400" b="0" i="0" u="none" strike="noStrike" baseline="0">
            <a:solidFill>
              <a:schemeClr val="dk1"/>
            </a:solidFill>
            <a:effectLst/>
            <a:latin typeface="+mn-lt"/>
            <a:ea typeface="+mn-ea"/>
            <a:cs typeface="+mn-cs"/>
          </a:endParaRPr>
        </a:p>
        <a:p>
          <a:pPr lvl="0" rtl="0" fontAlgn="base"/>
          <a:r>
            <a:rPr lang="en-US" sz="1800" b="1" i="0" u="sng" strike="noStrike" baseline="0">
              <a:solidFill>
                <a:schemeClr val="dk1"/>
              </a:solidFill>
              <a:effectLst/>
              <a:latin typeface="+mn-lt"/>
              <a:ea typeface="+mn-ea"/>
              <a:cs typeface="+mn-cs"/>
            </a:rPr>
            <a:t>Restructure and Asset Impairments</a:t>
          </a:r>
        </a:p>
        <a:p>
          <a:pPr lvl="1" rtl="0" fontAlgn="base"/>
          <a:r>
            <a:rPr lang="en-US" sz="1400" b="0" i="0" u="none" strike="noStrike" baseline="0">
              <a:solidFill>
                <a:schemeClr val="dk1"/>
              </a:solidFill>
              <a:effectLst/>
              <a:latin typeface="+mn-lt"/>
              <a:ea typeface="+mn-ea"/>
              <a:cs typeface="+mn-cs"/>
            </a:rPr>
            <a:t>While restructuring and asset impairments are largely independent of revenue, they are a line item that will continue to persist. Hence, we have projected this expense as an average of the past 5 years of restructure and asset impairments.</a:t>
          </a:r>
        </a:p>
        <a:p>
          <a:pPr lvl="1" rtl="0" fontAlgn="base"/>
          <a:endParaRPr lang="en-US" sz="1400" b="0" i="0" u="none" strike="noStrike" baseline="0">
            <a:solidFill>
              <a:schemeClr val="dk1"/>
            </a:solidFill>
            <a:effectLst/>
            <a:latin typeface="+mn-lt"/>
            <a:ea typeface="+mn-ea"/>
            <a:cs typeface="+mn-cs"/>
          </a:endParaRPr>
        </a:p>
        <a:p>
          <a:pPr lvl="0" rtl="0" fontAlgn="base"/>
          <a:r>
            <a:rPr lang="en-US" sz="1800" b="1" i="0" u="sng" strike="noStrike" baseline="0">
              <a:solidFill>
                <a:schemeClr val="dk1"/>
              </a:solidFill>
              <a:effectLst/>
              <a:latin typeface="+mn-lt"/>
              <a:ea typeface="+mn-ea"/>
              <a:cs typeface="+mn-cs"/>
            </a:rPr>
            <a:t>Interest Expense</a:t>
          </a:r>
        </a:p>
        <a:p>
          <a:pPr lvl="1" rtl="0" fontAlgn="base"/>
          <a:r>
            <a:rPr lang="en-US" sz="1400" b="0" i="0" u="none" strike="noStrike" baseline="0">
              <a:solidFill>
                <a:schemeClr val="dk1"/>
              </a:solidFill>
              <a:effectLst/>
              <a:latin typeface="+mn-lt"/>
              <a:ea typeface="+mn-ea"/>
              <a:cs typeface="+mn-cs"/>
            </a:rPr>
            <a:t>Micron's need for financing will scale with its revenue growth and is unlikely to change significantly. Will stay consistent in line with historical levels of around 1.3% of revenue</a:t>
          </a:r>
        </a:p>
        <a:p>
          <a:pPr lvl="1" rtl="0" fontAlgn="base"/>
          <a:endParaRPr lang="en-US" sz="1400" b="0" i="0" u="none" strike="noStrike" baseline="0">
            <a:solidFill>
              <a:schemeClr val="dk1"/>
            </a:solidFill>
            <a:effectLst/>
            <a:latin typeface="+mn-lt"/>
            <a:ea typeface="+mn-ea"/>
            <a:cs typeface="+mn-cs"/>
          </a:endParaRPr>
        </a:p>
        <a:p>
          <a:pPr rtl="0" fontAlgn="base"/>
          <a:r>
            <a:rPr lang="en-US" sz="1800" b="1" i="0" u="sng" baseline="0">
              <a:solidFill>
                <a:schemeClr val="dk1"/>
              </a:solidFill>
              <a:effectLst/>
              <a:latin typeface="+mn-lt"/>
              <a:ea typeface="+mn-ea"/>
              <a:cs typeface="+mn-cs"/>
            </a:rPr>
            <a:t>Interest &amp; Other Investment Income</a:t>
          </a:r>
          <a:endParaRPr lang="en-US" sz="1800">
            <a:effectLst/>
          </a:endParaRPr>
        </a:p>
        <a:p>
          <a:pPr lvl="1" rtl="0" fontAlgn="base"/>
          <a:r>
            <a:rPr lang="en-US" sz="1400" b="0" i="0" baseline="0">
              <a:solidFill>
                <a:schemeClr val="dk1"/>
              </a:solidFill>
              <a:effectLst/>
              <a:latin typeface="+mn-lt"/>
              <a:ea typeface="+mn-ea"/>
              <a:cs typeface="+mn-cs"/>
            </a:rPr>
            <a:t>Given that interst income is non-core income for Micron, it is is unlikely to change significantly. 2025 represented an outlier year for market returns that likely will not persist into the future, thus, we will keep this number more in line with other years, which were around 0.3% of revenue</a:t>
          </a:r>
          <a:endParaRPr lang="en-US" sz="1400">
            <a:effectLst/>
          </a:endParaRPr>
        </a:p>
        <a:p>
          <a:pPr lvl="0" rtl="0" fontAlgn="base"/>
          <a:endParaRPr lang="en-US" sz="1400" b="0" i="0" u="none" strike="noStrike" baseline="0">
            <a:solidFill>
              <a:sysClr val="windowText" lastClr="000000"/>
            </a:solidFill>
            <a:effectLst/>
            <a:latin typeface="+mn-lt"/>
            <a:ea typeface="+mn-ea"/>
            <a:cs typeface="+mn-cs"/>
          </a:endParaRPr>
        </a:p>
        <a:p>
          <a:pPr rtl="0"/>
          <a:r>
            <a:rPr lang="en-US" sz="1800" b="1" i="0" u="sng">
              <a:solidFill>
                <a:schemeClr val="dk1"/>
              </a:solidFill>
              <a:effectLst/>
              <a:latin typeface="+mn-lt"/>
              <a:ea typeface="+mn-ea"/>
              <a:cs typeface="+mn-cs"/>
            </a:rPr>
            <a:t>Tax Rate</a:t>
          </a:r>
          <a:endParaRPr lang="en-US" sz="1800">
            <a:effectLst/>
          </a:endParaRPr>
        </a:p>
        <a:p>
          <a:pPr lvl="1" rtl="0" fontAlgn="base"/>
          <a:r>
            <a:rPr lang="en-US" sz="1400" b="0" i="0">
              <a:solidFill>
                <a:schemeClr val="dk1"/>
              </a:solidFill>
              <a:effectLst/>
              <a:latin typeface="+mn-lt"/>
              <a:ea typeface="+mn-ea"/>
              <a:cs typeface="+mn-cs"/>
            </a:rPr>
            <a:t>We applied the statutory corporate tax rate of 21% rather than the effective tax rate because the effective rate will fluctuate with credits and incentives. For long-term projections, the statutory rate is a more reliable and consistent benchmark.</a:t>
          </a:r>
        </a:p>
        <a:p>
          <a:pPr lvl="1" rtl="0" fontAlgn="base"/>
          <a:endParaRPr lang="en-US" sz="1400" b="0" i="0">
            <a:solidFill>
              <a:schemeClr val="dk1"/>
            </a:solidFill>
            <a:effectLst/>
            <a:latin typeface="+mn-lt"/>
            <a:ea typeface="+mn-ea"/>
            <a:cs typeface="+mn-cs"/>
          </a:endParaRPr>
        </a:p>
        <a:p>
          <a:pPr lvl="0" rtl="0" fontAlgn="base"/>
          <a:r>
            <a:rPr lang="en-US" sz="1800" b="1" i="0" u="sng">
              <a:solidFill>
                <a:schemeClr val="dk1"/>
              </a:solidFill>
              <a:effectLst/>
              <a:latin typeface="+mn-lt"/>
              <a:ea typeface="+mn-ea"/>
              <a:cs typeface="+mn-cs"/>
            </a:rPr>
            <a:t>The</a:t>
          </a:r>
          <a:r>
            <a:rPr lang="en-US" sz="1800" b="1" i="0" u="sng" baseline="0">
              <a:solidFill>
                <a:schemeClr val="dk1"/>
              </a:solidFill>
              <a:effectLst/>
              <a:latin typeface="+mn-lt"/>
              <a:ea typeface="+mn-ea"/>
              <a:cs typeface="+mn-cs"/>
            </a:rPr>
            <a:t> following accounts are non-operating, unpredictable and transitory and thus will not be projected:</a:t>
          </a:r>
        </a:p>
        <a:p>
          <a:pPr lvl="1" rtl="0" fontAlgn="base"/>
          <a:r>
            <a:rPr lang="en-US" sz="1400" b="0" i="0" baseline="0">
              <a:solidFill>
                <a:schemeClr val="dk1"/>
              </a:solidFill>
              <a:effectLst/>
              <a:latin typeface="+mn-lt"/>
              <a:ea typeface="+mn-ea"/>
              <a:cs typeface="+mn-cs"/>
            </a:rPr>
            <a:t>Other Operating (Income)/Expense, Net, Other Nonoperating Income (Expense), Net, Equity in net income (loss) of equity method investees.</a:t>
          </a:r>
          <a:endParaRPr lang="en-US" sz="1400" b="0" i="0" u="none" strike="noStrike"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xdr:colOff>
      <xdr:row>62</xdr:row>
      <xdr:rowOff>15240</xdr:rowOff>
    </xdr:from>
    <xdr:to>
      <xdr:col>13</xdr:col>
      <xdr:colOff>198120</xdr:colOff>
      <xdr:row>96</xdr:row>
      <xdr:rowOff>53340</xdr:rowOff>
    </xdr:to>
    <xdr:sp macro="" textlink="">
      <xdr:nvSpPr>
        <xdr:cNvPr id="2" name="TextBox 1">
          <a:extLst>
            <a:ext uri="{FF2B5EF4-FFF2-40B4-BE49-F238E27FC236}">
              <a16:creationId xmlns:a16="http://schemas.microsoft.com/office/drawing/2014/main" id="{30D54A07-29F0-DD70-DD67-DF700FA0723D}"/>
            </a:ext>
          </a:extLst>
        </xdr:cNvPr>
        <xdr:cNvSpPr txBox="1"/>
      </xdr:nvSpPr>
      <xdr:spPr>
        <a:xfrm>
          <a:off x="800100" y="10561320"/>
          <a:ext cx="10728960" cy="5737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rgbClr val="FF0000"/>
              </a:solidFill>
              <a:effectLst/>
              <a:latin typeface="+mn-lt"/>
              <a:ea typeface="+mn-ea"/>
              <a:cs typeface="+mn-cs"/>
            </a:rPr>
            <a:t>Notes</a:t>
          </a:r>
          <a:r>
            <a:rPr lang="en-US" sz="1200" baseline="0">
              <a:solidFill>
                <a:srgbClr val="FF0000"/>
              </a:solidFill>
              <a:effectLst/>
              <a:latin typeface="+mn-lt"/>
              <a:ea typeface="+mn-ea"/>
              <a:cs typeface="+mn-cs"/>
            </a:rPr>
            <a:t> on </a:t>
          </a:r>
          <a:r>
            <a:rPr lang="en-US" sz="1200">
              <a:solidFill>
                <a:srgbClr val="FF0000"/>
              </a:solidFill>
              <a:effectLst/>
              <a:latin typeface="+mn-lt"/>
              <a:ea typeface="+mn-ea"/>
              <a:cs typeface="+mn-cs"/>
            </a:rPr>
            <a:t>Assumptions</a:t>
          </a:r>
          <a:r>
            <a:rPr lang="en-US" sz="1200" baseline="0">
              <a:solidFill>
                <a:srgbClr val="FF0000"/>
              </a:solidFill>
              <a:effectLst/>
              <a:latin typeface="+mn-lt"/>
              <a:ea typeface="+mn-ea"/>
              <a:cs typeface="+mn-cs"/>
            </a:rPr>
            <a:t> (In the order of how they appear on this valuation)</a:t>
          </a:r>
          <a:endParaRPr lang="en-US" sz="1200">
            <a:solidFill>
              <a:srgbClr val="FF0000"/>
            </a:solidFill>
            <a:effectLst/>
          </a:endParaRPr>
        </a:p>
        <a:p>
          <a:endParaRPr lang="en-US" sz="1400">
            <a:solidFill>
              <a:srgbClr val="FF0000"/>
            </a:solidFill>
          </a:endParaRPr>
        </a:p>
        <a:p>
          <a:pPr rtl="0"/>
          <a:r>
            <a:rPr lang="en-US" sz="1800" b="1" i="0" u="sng">
              <a:solidFill>
                <a:schemeClr val="dk1"/>
              </a:solidFill>
              <a:effectLst/>
              <a:latin typeface="+mn-lt"/>
              <a:ea typeface="+mn-ea"/>
              <a:cs typeface="+mn-cs"/>
            </a:rPr>
            <a:t>Tax Rate</a:t>
          </a:r>
          <a:endParaRPr lang="en-US" sz="1800">
            <a:effectLst/>
          </a:endParaRPr>
        </a:p>
        <a:p>
          <a:pPr rtl="0" fontAlgn="base"/>
          <a:r>
            <a:rPr lang="en-US" sz="1200" b="0" i="0">
              <a:solidFill>
                <a:schemeClr val="dk1"/>
              </a:solidFill>
              <a:effectLst/>
              <a:latin typeface="+mn-lt"/>
              <a:ea typeface="+mn-ea"/>
              <a:cs typeface="+mn-cs"/>
            </a:rPr>
            <a:t>We applied the statutory corporate tax rate of 21% rather than the effective tax rate because the effective rate will fluctuate with credits and incentives. For long-term projections, the statutory rate is a more reliable and consistent benchmark.</a:t>
          </a:r>
          <a:endParaRPr lang="en-US" sz="1200">
            <a:effectLst/>
          </a:endParaRPr>
        </a:p>
        <a:p>
          <a:endParaRPr lang="en-US" sz="1200">
            <a:solidFill>
              <a:schemeClr val="tx1"/>
            </a:solidFill>
          </a:endParaRPr>
        </a:p>
        <a:p>
          <a:pPr marL="0" indent="0" rtl="0"/>
          <a:r>
            <a:rPr lang="en-US" sz="1800" b="1" i="0" u="sng">
              <a:solidFill>
                <a:schemeClr val="dk1"/>
              </a:solidFill>
              <a:effectLst/>
              <a:latin typeface="+mn-lt"/>
              <a:ea typeface="+mn-ea"/>
              <a:cs typeface="+mn-cs"/>
            </a:rPr>
            <a:t>LT Growth Rate</a:t>
          </a:r>
        </a:p>
        <a:p>
          <a:r>
            <a:rPr lang="en-US" sz="1200" baseline="0">
              <a:solidFill>
                <a:schemeClr val="tx1"/>
              </a:solidFill>
            </a:rPr>
            <a:t>We assume 2.5% LT growth to reflect Micron’s global footprint and structural demand drivers, slightly above U.S. inflation and nominal GDP but consistent with peer semiconductor firms.</a:t>
          </a:r>
        </a:p>
        <a:p>
          <a:endParaRPr lang="en-US" sz="1200">
            <a:solidFill>
              <a:schemeClr val="tx1"/>
            </a:solidFill>
          </a:endParaRPr>
        </a:p>
        <a:p>
          <a:pPr marL="0" indent="0" rtl="0"/>
          <a:r>
            <a:rPr lang="en-US" sz="1800" b="1" i="0" u="sng">
              <a:solidFill>
                <a:schemeClr val="dk1"/>
              </a:solidFill>
              <a:effectLst/>
              <a:latin typeface="+mn-lt"/>
              <a:ea typeface="+mn-ea"/>
              <a:cs typeface="+mn-cs"/>
            </a:rPr>
            <a:t>Cost of Debt</a:t>
          </a:r>
        </a:p>
        <a:p>
          <a:r>
            <a:rPr lang="en-US" sz="1200">
              <a:solidFill>
                <a:schemeClr val="tx1"/>
              </a:solidFill>
            </a:rPr>
            <a:t>Prorated effective rate from their loans section </a:t>
          </a:r>
          <a:r>
            <a:rPr lang="en-US" sz="1200">
              <a:solidFill>
                <a:schemeClr val="dk1"/>
              </a:solidFill>
              <a:effectLst/>
              <a:latin typeface="+mn-lt"/>
              <a:ea typeface="+mn-ea"/>
              <a:cs typeface="+mn-cs"/>
            </a:rPr>
            <a:t>(Note 12)</a:t>
          </a:r>
          <a:r>
            <a:rPr lang="en-US" sz="1200">
              <a:solidFill>
                <a:schemeClr val="tx1"/>
              </a:solidFill>
            </a:rPr>
            <a:t> of 10K .</a:t>
          </a:r>
        </a:p>
        <a:p>
          <a:endParaRPr lang="en-US" sz="1200">
            <a:solidFill>
              <a:schemeClr val="tx1"/>
            </a:solidFill>
          </a:endParaRPr>
        </a:p>
        <a:p>
          <a:pPr marL="0" indent="0" rtl="0"/>
          <a:r>
            <a:rPr lang="en-US" sz="1800" b="1" i="0" u="sng">
              <a:solidFill>
                <a:schemeClr val="dk1"/>
              </a:solidFill>
              <a:effectLst/>
              <a:latin typeface="+mn-lt"/>
              <a:ea typeface="+mn-ea"/>
              <a:cs typeface="+mn-cs"/>
            </a:rPr>
            <a:t>Lease Interest %</a:t>
          </a:r>
        </a:p>
        <a:p>
          <a:r>
            <a:rPr lang="en-US" sz="1200">
              <a:solidFill>
                <a:schemeClr val="tx1"/>
              </a:solidFill>
            </a:rPr>
            <a:t>Derived 25% operating lease 75% financing lease split from Note 9 of 10K. Used these to find a weighted average lease DCR for the 5.19% Financing leases &amp; 4.26% operating leases.</a:t>
          </a:r>
        </a:p>
        <a:p>
          <a:endParaRPr lang="en-US" sz="1200">
            <a:solidFill>
              <a:schemeClr val="tx1"/>
            </a:solidFill>
          </a:endParaRPr>
        </a:p>
        <a:p>
          <a:pPr marL="0" indent="0" rtl="0"/>
          <a:r>
            <a:rPr lang="en-US" sz="1800" b="1" i="0" u="sng">
              <a:solidFill>
                <a:schemeClr val="dk1"/>
              </a:solidFill>
              <a:effectLst/>
              <a:latin typeface="+mn-lt"/>
              <a:ea typeface="+mn-ea"/>
              <a:cs typeface="+mn-cs"/>
            </a:rPr>
            <a:t>RF%</a:t>
          </a:r>
        </a:p>
        <a:p>
          <a:pPr marL="0" indent="0"/>
          <a:r>
            <a:rPr lang="en-US" sz="1200">
              <a:solidFill>
                <a:schemeClr val="tx1"/>
              </a:solidFill>
              <a:latin typeface="+mn-lt"/>
              <a:ea typeface="+mn-ea"/>
              <a:cs typeface="+mn-cs"/>
            </a:rPr>
            <a:t>10 yr Treasury  rate as of 4/17/2026.</a:t>
          </a:r>
        </a:p>
        <a:p>
          <a:pPr marL="0" indent="0"/>
          <a:endParaRPr lang="en-US" sz="1200">
            <a:solidFill>
              <a:schemeClr val="tx1"/>
            </a:solidFill>
            <a:latin typeface="+mn-lt"/>
            <a:ea typeface="+mn-ea"/>
            <a:cs typeface="+mn-cs"/>
          </a:endParaRPr>
        </a:p>
        <a:p>
          <a:pPr marL="0" indent="0" rtl="0"/>
          <a:r>
            <a:rPr lang="en-US" sz="1800" b="1" i="0" u="sng">
              <a:solidFill>
                <a:schemeClr val="dk1"/>
              </a:solidFill>
              <a:effectLst/>
              <a:latin typeface="+mn-lt"/>
              <a:ea typeface="+mn-ea"/>
              <a:cs typeface="+mn-cs"/>
            </a:rPr>
            <a:t>RM%</a:t>
          </a:r>
        </a:p>
        <a:p>
          <a:r>
            <a:rPr lang="en-US" sz="1200">
              <a:solidFill>
                <a:schemeClr val="tx1"/>
              </a:solidFill>
            </a:rPr>
            <a:t>JPM estimate for expected large cap returns (https://www.jpmorgan.com/insights/markets-and-economy/top-market-takeaways/tmt-october-twenty-four-twenty-five)</a:t>
          </a:r>
        </a:p>
        <a:p>
          <a:endParaRPr lang="en-US" sz="1200">
            <a:solidFill>
              <a:schemeClr val="tx1"/>
            </a:solidFill>
          </a:endParaRPr>
        </a:p>
        <a:p>
          <a:pPr marL="0" indent="0" rtl="0"/>
          <a:r>
            <a:rPr lang="en-US" sz="1800" b="1" i="0" u="sng">
              <a:solidFill>
                <a:schemeClr val="dk1"/>
              </a:solidFill>
              <a:effectLst/>
              <a:latin typeface="+mn-lt"/>
              <a:ea typeface="+mn-ea"/>
              <a:cs typeface="+mn-cs"/>
            </a:rPr>
            <a:t>Beta </a:t>
          </a:r>
        </a:p>
        <a:p>
          <a:r>
            <a:rPr lang="en-US" sz="1200">
              <a:solidFill>
                <a:schemeClr val="tx1"/>
              </a:solidFill>
            </a:rPr>
            <a:t>From CNBC</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591927</xdr:colOff>
      <xdr:row>81</xdr:row>
      <xdr:rowOff>8942</xdr:rowOff>
    </xdr:from>
    <xdr:to>
      <xdr:col>11</xdr:col>
      <xdr:colOff>571500</xdr:colOff>
      <xdr:row>136</xdr:row>
      <xdr:rowOff>15240</xdr:rowOff>
    </xdr:to>
    <xdr:sp macro="" textlink="">
      <xdr:nvSpPr>
        <xdr:cNvPr id="2" name="TextBox 1">
          <a:extLst>
            <a:ext uri="{FF2B5EF4-FFF2-40B4-BE49-F238E27FC236}">
              <a16:creationId xmlns:a16="http://schemas.microsoft.com/office/drawing/2014/main" id="{A3E851B2-4E36-45B8-91CB-23125E87328B}"/>
            </a:ext>
          </a:extLst>
        </xdr:cNvPr>
        <xdr:cNvSpPr txBox="1"/>
      </xdr:nvSpPr>
      <xdr:spPr>
        <a:xfrm>
          <a:off x="591927" y="14768882"/>
          <a:ext cx="11142873" cy="9958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400">
              <a:solidFill>
                <a:srgbClr val="FF0000"/>
              </a:solidFill>
            </a:rPr>
            <a:t>Assumption Justifications</a:t>
          </a:r>
        </a:p>
        <a:p>
          <a:endParaRPr lang="en-US" sz="1100"/>
        </a:p>
        <a:p>
          <a:r>
            <a:rPr lang="en-US" sz="2000" b="1" u="sng">
              <a:solidFill>
                <a:schemeClr val="dk1"/>
              </a:solidFill>
              <a:latin typeface="+mn-lt"/>
              <a:ea typeface="+mn-ea"/>
              <a:cs typeface="+mn-cs"/>
            </a:rPr>
            <a:t>Rationale For Comp</a:t>
          </a:r>
          <a:r>
            <a:rPr lang="en-US" sz="2000" b="1" u="sng" baseline="0">
              <a:solidFill>
                <a:schemeClr val="dk1"/>
              </a:solidFill>
              <a:latin typeface="+mn-lt"/>
              <a:ea typeface="+mn-ea"/>
              <a:cs typeface="+mn-cs"/>
            </a:rPr>
            <a:t> Selection</a:t>
          </a:r>
          <a:endParaRPr lang="en-US" sz="2000" b="1" u="sng">
            <a:solidFill>
              <a:schemeClr val="dk1"/>
            </a:solidFill>
            <a:latin typeface="+mn-lt"/>
            <a:ea typeface="+mn-ea"/>
            <a:cs typeface="+mn-cs"/>
          </a:endParaRPr>
        </a:p>
        <a:p>
          <a:endParaRPr lang="en-US" sz="1100"/>
        </a:p>
        <a:p>
          <a:pPr rtl="0"/>
          <a:r>
            <a:rPr lang="en-US" sz="1400" b="1">
              <a:solidFill>
                <a:schemeClr val="dk1"/>
              </a:solidFill>
              <a:effectLst/>
              <a:latin typeface="+mn-lt"/>
              <a:ea typeface="+mn-ea"/>
              <a:cs typeface="+mn-cs"/>
            </a:rPr>
            <a:t>Western Digital (WDC): </a:t>
          </a:r>
          <a:endParaRPr lang="en-US" sz="1400" b="1">
            <a:effectLst/>
          </a:endParaRPr>
        </a:p>
        <a:p>
          <a:pPr rtl="0"/>
          <a:r>
            <a:rPr lang="en-US" sz="1200" b="0" i="0">
              <a:solidFill>
                <a:schemeClr val="dk1"/>
              </a:solidFill>
              <a:effectLst/>
              <a:latin typeface="+mn-lt"/>
              <a:ea typeface="+mn-ea"/>
              <a:cs typeface="+mn-cs"/>
            </a:rPr>
            <a:t>We believe Western Digital</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is a</a:t>
          </a:r>
          <a:r>
            <a:rPr lang="en-US" sz="1200" b="0" i="0" baseline="0">
              <a:solidFill>
                <a:schemeClr val="dk1"/>
              </a:solidFill>
              <a:effectLst/>
              <a:latin typeface="+mn-lt"/>
              <a:ea typeface="+mn-ea"/>
              <a:cs typeface="+mn-cs"/>
            </a:rPr>
            <a:t> strong</a:t>
          </a:r>
          <a:r>
            <a:rPr lang="en-US" sz="1200" b="0" i="0">
              <a:solidFill>
                <a:schemeClr val="dk1"/>
              </a:solidFill>
              <a:effectLst/>
              <a:latin typeface="+mn-lt"/>
              <a:ea typeface="+mn-ea"/>
              <a:cs typeface="+mn-cs"/>
            </a:rPr>
            <a:t> public comp for Micron (MU) due to significant similarities in business model and financial structure. Both companies operate in the memory and storage market, with WDC deriving a large portion of its revenue from NAND and SSD solutions - areas directly aligned with Micron’s primary revenue streams. Importantly, like Micron, Western Digital participates directly in manufacturing, distinguishing it from fabless semiconductor peers and making its capital intensity, cost structure, and profitability profile more comparable to Micron’s.</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While Western Digital’s scale is smaller, generating roughly half of Micron’s revenue, the two companies exhibit similar margin profiles. This suggests that WDC’s financial performance reflects operating dynamics that are highly relevant for understanding Micron’s valuation, despite differences in absolute size. We believe that its market cap and other ratios are close enough to warrant comparison.</a:t>
          </a:r>
          <a:endParaRPr lang="en-US" sz="1200">
            <a:effectLst/>
          </a:endParaRPr>
        </a:p>
        <a:p>
          <a:endParaRPr lang="en-US" sz="1400" b="1">
            <a:solidFill>
              <a:schemeClr val="dk1"/>
            </a:solidFill>
            <a:effectLst/>
            <a:latin typeface="+mn-lt"/>
            <a:ea typeface="+mn-ea"/>
            <a:cs typeface="+mn-cs"/>
          </a:endParaRPr>
        </a:p>
        <a:p>
          <a:r>
            <a:rPr lang="en-US" sz="1400" b="1">
              <a:solidFill>
                <a:schemeClr val="dk1"/>
              </a:solidFill>
              <a:effectLst/>
              <a:latin typeface="+mn-lt"/>
              <a:ea typeface="+mn-ea"/>
              <a:cs typeface="+mn-cs"/>
            </a:rPr>
            <a:t>Applied Materials (AMAT):</a:t>
          </a:r>
          <a:r>
            <a:rPr lang="en-US" sz="1400" b="1" baseline="0">
              <a:solidFill>
                <a:schemeClr val="dk1"/>
              </a:solidFill>
              <a:effectLst/>
              <a:latin typeface="+mn-lt"/>
              <a:ea typeface="+mn-ea"/>
              <a:cs typeface="+mn-cs"/>
            </a:rPr>
            <a:t> </a:t>
          </a:r>
          <a:endParaRPr lang="en-US" sz="1400">
            <a:effectLst/>
          </a:endParaRPr>
        </a:p>
        <a:p>
          <a:r>
            <a:rPr lang="en-US" sz="1200">
              <a:solidFill>
                <a:schemeClr val="dk1"/>
              </a:solidFill>
              <a:effectLst/>
              <a:latin typeface="+mn-lt"/>
              <a:ea typeface="+mn-ea"/>
              <a:cs typeface="+mn-cs"/>
            </a:rPr>
            <a:t>Applied Materials is a good public comparable for Micron because both companies are deeply linked to the semiconductor memory industry, albeit from different positions in the value chain. Applied Materials is one of the largest equipment suppliers for DRAM and NAND manufacturing, meaning its financial results are highly correlated with Micron’s capital investment cycles and memory industry demand. Both companies are exposed to cyclical swings, technology transitions like 3D NAND scaling, and the need for ongoing high capital intensity. While Micron manufactures memory chips and Applied Materials supplies the equipment, they are interdependent in the same ecosystem, making Applied a useful peer to contextualize industry-driven valuation multiples.</a:t>
          </a:r>
          <a:br>
            <a:rPr lang="en-US" sz="1400">
              <a:solidFill>
                <a:schemeClr val="dk1"/>
              </a:solidFill>
              <a:effectLst/>
              <a:latin typeface="+mn-lt"/>
              <a:ea typeface="+mn-ea"/>
              <a:cs typeface="+mn-cs"/>
            </a:rPr>
          </a:br>
          <a:endParaRPr lang="en-US" sz="1400">
            <a:effectLst/>
          </a:endParaRPr>
        </a:p>
        <a:p>
          <a:r>
            <a:rPr lang="en-US" sz="1400" b="1">
              <a:solidFill>
                <a:schemeClr val="dk1"/>
              </a:solidFill>
              <a:effectLst/>
              <a:latin typeface="+mn-lt"/>
              <a:ea typeface="+mn-ea"/>
              <a:cs typeface="+mn-cs"/>
            </a:rPr>
            <a:t>Intel Corporation</a:t>
          </a:r>
          <a:r>
            <a:rPr lang="en-US" sz="1400" b="1" baseline="0">
              <a:solidFill>
                <a:schemeClr val="dk1"/>
              </a:solidFill>
              <a:effectLst/>
              <a:latin typeface="+mn-lt"/>
              <a:ea typeface="+mn-ea"/>
              <a:cs typeface="+mn-cs"/>
            </a:rPr>
            <a:t> (INTC)</a:t>
          </a:r>
          <a:r>
            <a:rPr lang="en-US" sz="1400" b="1">
              <a:solidFill>
                <a:schemeClr val="dk1"/>
              </a:solidFill>
              <a:effectLst/>
              <a:latin typeface="+mn-lt"/>
              <a:ea typeface="+mn-ea"/>
              <a:cs typeface="+mn-cs"/>
            </a:rPr>
            <a:t>: </a:t>
          </a:r>
          <a:endParaRPr lang="en-US" sz="1400">
            <a:effectLst/>
          </a:endParaRPr>
        </a:p>
        <a:p>
          <a:r>
            <a:rPr lang="en-US" sz="1200">
              <a:solidFill>
                <a:schemeClr val="dk1"/>
              </a:solidFill>
              <a:effectLst/>
              <a:latin typeface="+mn-lt"/>
              <a:ea typeface="+mn-ea"/>
              <a:cs typeface="+mn-cs"/>
            </a:rPr>
            <a:t>Intel is a good public comparable for Micron because both are integrated device manufacturers (IDMs) that design and operate their own fabrication facilities. This shared model drives substantial capital expenditures, cyclical utilization risks, and significant ongoing investment in process technology. While Intel is primarily focused on logic chips and CPUs rather than memory, its historical presence in NAND and continued role as a large-scale IDM make its business dynamics partially comparable to Micron’s. The IDM structure, rather than product overlap, is the key similarity, providing insight into capital intensity and long-term margin structure.</a:t>
          </a:r>
          <a:endParaRPr lang="en-US" sz="1200">
            <a:effectLst/>
          </a:endParaRP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2000" b="1" u="sng"/>
            <a:t>P/E Multiple </a:t>
          </a:r>
          <a:r>
            <a:rPr lang="en-US" sz="1000" u="none"/>
            <a:t>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u="none"/>
            <a:t>INTC is excluded as NMF due to near-zero FY2025 earnings. WDC is weighted most heavily as the most direct comparable, both companies operate in cyclical memory and storage markets with similar revenue patterns. AMAT is included at a lower weight as a profitability benchmark, though its equipment business makes it a less direct peer. Since P/E is an equity-based multiple, the implied value goes straight to shareholders with no conversion step required.</a:t>
          </a:r>
        </a:p>
        <a:p>
          <a:pPr marL="0" marR="0" lvl="0" indent="0" defTabSz="914400" eaLnBrk="1" fontAlgn="auto" latinLnBrk="0" hangingPunct="1">
            <a:lnSpc>
              <a:spcPct val="100000"/>
            </a:lnSpc>
            <a:spcBef>
              <a:spcPts val="0"/>
            </a:spcBef>
            <a:spcAft>
              <a:spcPts val="0"/>
            </a:spcAft>
            <a:buClrTx/>
            <a:buSzTx/>
            <a:buFontTx/>
            <a:buNone/>
            <a:tabLst/>
            <a:defRPr/>
          </a:pPr>
          <a:endParaRPr lang="en-US" sz="1000" u="none"/>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rgbClr val="000000"/>
              </a:solidFill>
              <a:effectLst/>
              <a:uLnTx/>
              <a:uFillTx/>
              <a:latin typeface="+mn-lt"/>
              <a:ea typeface="+mn-ea"/>
              <a:cs typeface="+mn-cs"/>
            </a:rPr>
            <a:t>TEV / EBITDA Multiple </a:t>
          </a:r>
        </a:p>
        <a:p>
          <a:pPr marL="457200" marR="0" lvl="1" indent="0" defTabSz="914400" eaLnBrk="1" fontAlgn="auto" latinLnBrk="0" hangingPunct="1">
            <a:lnSpc>
              <a:spcPct val="100000"/>
            </a:lnSpc>
            <a:spcBef>
              <a:spcPts val="0"/>
            </a:spcBef>
            <a:spcAft>
              <a:spcPts val="0"/>
            </a:spcAft>
            <a:buClrTx/>
            <a:buSzTx/>
            <a:buFontTx/>
            <a:buNone/>
            <a:tabLst/>
            <a:defRPr/>
          </a:pPr>
          <a:r>
            <a:rPr lang="en-US" sz="1200"/>
            <a:t>All three peers are included since EBITDA is positive across the set, making it a more reliable denominator than net income through a volatile cycle. The median is chosen over the mean to reduce the influence of outliers - WDC's multiple is distorted upward by its recent spinoff and INTC's is compressed by ongoing restructuring. Because this is an enterprise value multiple, </a:t>
          </a:r>
          <a:r>
            <a:rPr lang="en-US" sz="1200" baseline="0"/>
            <a:t> </a:t>
          </a:r>
          <a:r>
            <a:rPr lang="en-US" sz="1200"/>
            <a:t>the implied TEV must first be reduced by MU's net debt to arrive at the value attributable to equity holders before dividing by shares.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rgbClr val="000000"/>
              </a:solidFill>
              <a:effectLst/>
              <a:uLnTx/>
              <a:uFillTx/>
              <a:latin typeface="+mn-lt"/>
              <a:ea typeface="+mn-ea"/>
              <a:cs typeface="+mn-cs"/>
            </a:rPr>
            <a:t>TEV / Revenue Multiple </a:t>
          </a:r>
        </a:p>
        <a:p>
          <a:pPr lvl="1"/>
          <a:r>
            <a:rPr lang="en-US" sz="1200"/>
            <a:t>Revenue multiples ignore profitability entirely, and given the wide margin disparity across the peer set, applying one would meaningfully understate MU's value. Assigned zero weight in the conclusion but useful as a cross-check during a downcycle when earnings turn negative.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rgbClr val="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rgbClr val="000000"/>
              </a:solidFill>
              <a:effectLst/>
              <a:uLnTx/>
              <a:uFillTx/>
              <a:latin typeface="+mn-lt"/>
              <a:ea typeface="+mn-ea"/>
              <a:cs typeface="+mn-cs"/>
            </a:rPr>
            <a:t>TEV / Revenue Multiple </a:t>
          </a:r>
          <a:endParaRPr kumimoji="0" lang="en-US" sz="1000" b="1" i="0" u="sng" strike="noStrike" kern="0" cap="none" spc="0" normalizeH="0" baseline="0" noProof="0">
            <a:ln>
              <a:noFill/>
            </a:ln>
            <a:solidFill>
              <a:srgbClr val="000000"/>
            </a:solidFill>
            <a:effectLst/>
            <a:uLnTx/>
            <a:uFillTx/>
            <a:latin typeface="+mn-lt"/>
            <a:ea typeface="+mn-ea"/>
            <a:cs typeface="+mn-cs"/>
          </a:endParaRPr>
        </a:p>
        <a:p>
          <a:pPr marL="457200" marR="0" lvl="1" indent="0" defTabSz="914400" eaLnBrk="1" fontAlgn="auto" latinLnBrk="0" hangingPunct="1">
            <a:lnSpc>
              <a:spcPct val="100000"/>
            </a:lnSpc>
            <a:spcBef>
              <a:spcPts val="0"/>
            </a:spcBef>
            <a:spcAft>
              <a:spcPts val="0"/>
            </a:spcAft>
            <a:buClrTx/>
            <a:buSzTx/>
            <a:buFontTx/>
            <a:buNone/>
            <a:tabLst/>
            <a:defRPr/>
          </a:pPr>
          <a:r>
            <a:rPr lang="en-US" sz="1200">
              <a:effectLst/>
            </a:rPr>
            <a:t>A 50/50 blend of the P/E and TEV/EBITDA methods. Both multiples are weighted equally because each captures a different dimension of value, P/E reflects what equity investors pay for earnings, while TEV/EBITDA is more capital-structure-neutral and stable across cycles. The concluded value implies a modest premium to MU's current market price, supporting a preliminary indication</a:t>
          </a:r>
          <a:r>
            <a:rPr lang="en-US" sz="1200" baseline="0">
              <a:effectLst/>
            </a:rPr>
            <a:t> to </a:t>
          </a:r>
          <a:r>
            <a:rPr lang="en-US" sz="1200" b="1">
              <a:effectLst/>
            </a:rPr>
            <a:t>BUY</a:t>
          </a:r>
          <a:r>
            <a:rPr lang="en-US" sz="1200">
              <a:effectLst/>
            </a:rPr>
            <a:t> </a:t>
          </a:r>
          <a:endParaRPr lang="en-US" sz="1200" u="none"/>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784860</xdr:colOff>
      <xdr:row>91</xdr:row>
      <xdr:rowOff>83820</xdr:rowOff>
    </xdr:from>
    <xdr:to>
      <xdr:col>11</xdr:col>
      <xdr:colOff>563880</xdr:colOff>
      <xdr:row>104</xdr:row>
      <xdr:rowOff>91440</xdr:rowOff>
    </xdr:to>
    <xdr:sp macro="" textlink="">
      <xdr:nvSpPr>
        <xdr:cNvPr id="3" name="TextBox 2">
          <a:extLst>
            <a:ext uri="{FF2B5EF4-FFF2-40B4-BE49-F238E27FC236}">
              <a16:creationId xmlns:a16="http://schemas.microsoft.com/office/drawing/2014/main" id="{F2AD0A23-ACD5-6A88-DEF3-618D211E8B14}"/>
            </a:ext>
          </a:extLst>
        </xdr:cNvPr>
        <xdr:cNvSpPr txBox="1"/>
      </xdr:nvSpPr>
      <xdr:spPr>
        <a:xfrm>
          <a:off x="784860" y="8900160"/>
          <a:ext cx="11186160" cy="16916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FF0000"/>
              </a:solidFill>
            </a:rPr>
            <a:t>Assumption Justifications</a:t>
          </a:r>
        </a:p>
        <a:p>
          <a:endParaRPr lang="en-US" sz="1100"/>
        </a:p>
        <a:p>
          <a:r>
            <a:rPr lang="en-US" sz="2000" b="1" u="sng"/>
            <a:t>DFNWC</a:t>
          </a:r>
        </a:p>
        <a:p>
          <a:pPr lvl="1"/>
          <a:r>
            <a:rPr lang="en-US" sz="1100"/>
            <a:t>Micron's DFNWC has stayed relatively stable throughout the projection period at around 16-20%. We projected their DFNWC as an average of their historical, not including 2023 &amp; 2024 which were outlier revenue years.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784860</xdr:colOff>
      <xdr:row>61</xdr:row>
      <xdr:rowOff>0</xdr:rowOff>
    </xdr:from>
    <xdr:to>
      <xdr:col>12</xdr:col>
      <xdr:colOff>0</xdr:colOff>
      <xdr:row>81</xdr:row>
      <xdr:rowOff>15240</xdr:rowOff>
    </xdr:to>
    <xdr:sp macro="" textlink="">
      <xdr:nvSpPr>
        <xdr:cNvPr id="3" name="TextBox 2">
          <a:extLst>
            <a:ext uri="{FF2B5EF4-FFF2-40B4-BE49-F238E27FC236}">
              <a16:creationId xmlns:a16="http://schemas.microsoft.com/office/drawing/2014/main" id="{DC647B5D-0B88-4658-8183-BEECD6E62C60}"/>
            </a:ext>
          </a:extLst>
        </xdr:cNvPr>
        <xdr:cNvSpPr txBox="1"/>
      </xdr:nvSpPr>
      <xdr:spPr>
        <a:xfrm>
          <a:off x="784860" y="6941820"/>
          <a:ext cx="11224260" cy="26060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solidFill>
                <a:srgbClr val="FF0000"/>
              </a:solidFill>
            </a:rPr>
            <a:t>Assumption Justifications</a:t>
          </a:r>
        </a:p>
        <a:p>
          <a:endParaRPr lang="en-US" sz="1100"/>
        </a:p>
        <a:p>
          <a:r>
            <a:rPr lang="en-US" sz="2000" b="1" u="sng"/>
            <a:t>Depreciation &amp; Amort.</a:t>
          </a:r>
        </a:p>
        <a:p>
          <a:pPr lvl="1"/>
          <a:r>
            <a:rPr lang="en-US" sz="1100"/>
            <a:t>Equipment</a:t>
          </a:r>
          <a:r>
            <a:rPr lang="en-US" sz="1100" baseline="0"/>
            <a:t> will depreciate indepently of revenue, thus we projected D&amp;A as a % of PPE. Micron's D&amp;A as a % of PPE has remained steady throughout the years and is not expected to change. Therefore we project D&amp;A as an average over the last 5 years.</a:t>
          </a:r>
          <a:endParaRPr lang="en-US" sz="1100"/>
        </a:p>
        <a:p>
          <a:pPr lvl="1"/>
          <a:endParaRPr lang="en-US" sz="1100"/>
        </a:p>
        <a:p>
          <a:pPr lvl="0"/>
          <a:r>
            <a:rPr lang="en-US" sz="2000" b="1" u="sng"/>
            <a:t>CAPEX</a:t>
          </a:r>
          <a:endParaRPr lang="en-US" sz="2000" b="1" u="sng" baseline="0"/>
        </a:p>
        <a:p>
          <a:pPr lvl="1"/>
          <a:r>
            <a:rPr lang="en-US" sz="1100"/>
            <a:t>With</a:t>
          </a:r>
          <a:r>
            <a:rPr lang="en-US" sz="1100" baseline="0"/>
            <a:t> Micron's recent commitment to over 150BN in capital expenditures, we expect Micron's CAPEX to rise over the next 2 years capping out at 50% of revenue before tapering down as major projects complete, asset utilization rises and as they </a:t>
          </a:r>
          <a:r>
            <a:rPr lang="en-US" sz="1100" b="0" i="0">
              <a:solidFill>
                <a:schemeClr val="dk1"/>
              </a:solidFill>
              <a:effectLst/>
              <a:latin typeface="+mn-lt"/>
              <a:ea typeface="+mn-ea"/>
              <a:cs typeface="+mn-cs"/>
            </a:rPr>
            <a:t>transition from their buildout phase to a mature, maintenance-driven investment cycle</a:t>
          </a:r>
          <a:r>
            <a:rPr lang="en-US" sz="1100" baseline="0"/>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5CC5-E4AD-4642-AE6F-8D14ED5C9757}">
  <sheetPr>
    <outlinePr summaryBelow="0" summaryRight="0"/>
    <pageSetUpPr autoPageBreaks="0"/>
  </sheetPr>
  <dimension ref="A1:IU54"/>
  <sheetViews>
    <sheetView tabSelected="1" zoomScale="85" zoomScaleNormal="85" workbookViewId="0"/>
  </sheetViews>
  <sheetFormatPr defaultColWidth="11.5546875" defaultRowHeight="10.199999999999999" x14ac:dyDescent="0.2"/>
  <cols>
    <col min="1" max="1" width="11.5546875" style="1"/>
    <col min="2" max="2" width="45.77734375" style="1" customWidth="1"/>
    <col min="3" max="7" width="14.77734375" style="1" customWidth="1"/>
    <col min="8" max="257" width="8.77734375" style="1" customWidth="1"/>
    <col min="258" max="16384" width="11.5546875" style="1"/>
  </cols>
  <sheetData>
    <row r="1" spans="1:255" x14ac:dyDescent="0.2">
      <c r="A1" s="116" t="s">
        <v>290</v>
      </c>
    </row>
    <row r="2" spans="1:255" x14ac:dyDescent="0.2">
      <c r="B2" s="4" t="s">
        <v>0</v>
      </c>
      <c r="C2" s="4"/>
      <c r="D2" s="4"/>
      <c r="E2" s="4"/>
      <c r="F2" s="4"/>
      <c r="G2" s="4"/>
      <c r="H2" s="4"/>
      <c r="I2" s="4"/>
      <c r="J2" s="4"/>
      <c r="K2" s="4"/>
      <c r="L2" s="4"/>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ht="20.399999999999999" x14ac:dyDescent="0.2">
      <c r="B3" s="22" t="s">
        <v>1</v>
      </c>
      <c r="C3" s="23" t="s">
        <v>134</v>
      </c>
      <c r="D3" s="23" t="s">
        <v>133</v>
      </c>
      <c r="E3" s="23" t="s">
        <v>132</v>
      </c>
      <c r="F3" s="23" t="s">
        <v>131</v>
      </c>
      <c r="G3" s="23" t="s">
        <v>125</v>
      </c>
      <c r="H3" s="23" t="s">
        <v>126</v>
      </c>
      <c r="I3" s="23" t="s">
        <v>127</v>
      </c>
      <c r="J3" s="23" t="s">
        <v>128</v>
      </c>
      <c r="K3" s="23" t="s">
        <v>129</v>
      </c>
      <c r="L3" s="23" t="s">
        <v>130</v>
      </c>
    </row>
    <row r="4" spans="1:255" x14ac:dyDescent="0.2">
      <c r="B4" s="24" t="s">
        <v>2</v>
      </c>
      <c r="C4" s="25" t="s">
        <v>3</v>
      </c>
      <c r="D4" s="25" t="s">
        <v>3</v>
      </c>
      <c r="E4" s="25" t="s">
        <v>3</v>
      </c>
      <c r="F4" s="25" t="s">
        <v>3</v>
      </c>
      <c r="G4" s="25" t="s">
        <v>3</v>
      </c>
      <c r="H4" s="25" t="s">
        <v>3</v>
      </c>
      <c r="I4" s="25" t="s">
        <v>3</v>
      </c>
      <c r="J4" s="25" t="s">
        <v>3</v>
      </c>
      <c r="K4" s="25" t="s">
        <v>3</v>
      </c>
      <c r="L4" s="25" t="s">
        <v>3</v>
      </c>
    </row>
    <row r="5" spans="1:255" x14ac:dyDescent="0.2">
      <c r="B5" s="6" t="s">
        <v>4</v>
      </c>
      <c r="C5" s="3"/>
      <c r="D5" s="3"/>
      <c r="E5" s="3"/>
      <c r="F5" s="3"/>
      <c r="G5" s="3"/>
    </row>
    <row r="6" spans="1:255" x14ac:dyDescent="0.2">
      <c r="B6" s="3" t="s">
        <v>5</v>
      </c>
      <c r="C6" s="7">
        <v>27705</v>
      </c>
      <c r="D6" s="7">
        <v>30758</v>
      </c>
      <c r="E6" s="7">
        <v>15540</v>
      </c>
      <c r="F6" s="7">
        <v>25111</v>
      </c>
      <c r="G6" s="7">
        <v>37378</v>
      </c>
      <c r="H6" s="7">
        <f>H41</f>
        <v>51812.729999999996</v>
      </c>
      <c r="I6" s="7">
        <f t="shared" ref="I6:L6" si="0">I41</f>
        <v>73989.132500000007</v>
      </c>
      <c r="J6" s="7">
        <f t="shared" si="0"/>
        <v>94262.065875000015</v>
      </c>
      <c r="K6" s="7">
        <f t="shared" si="0"/>
        <v>109721.43720000001</v>
      </c>
      <c r="L6" s="7">
        <f t="shared" si="0"/>
        <v>117398.01328200003</v>
      </c>
      <c r="P6" s="18"/>
      <c r="Q6" s="18"/>
      <c r="R6" s="18"/>
      <c r="S6" s="18"/>
    </row>
    <row r="7" spans="1:255" x14ac:dyDescent="0.2">
      <c r="B7" s="3" t="s">
        <v>8</v>
      </c>
      <c r="C7" s="7">
        <v>17233</v>
      </c>
      <c r="D7" s="7">
        <v>16860</v>
      </c>
      <c r="E7" s="7">
        <v>16956</v>
      </c>
      <c r="F7" s="7">
        <v>19498</v>
      </c>
      <c r="G7" s="7">
        <v>22505</v>
      </c>
      <c r="H7" s="7">
        <f>H6*H45</f>
        <v>29533.256099999995</v>
      </c>
      <c r="I7" s="7">
        <f>I6*I45</f>
        <v>42913.69685</v>
      </c>
      <c r="J7" s="7">
        <f>J6*J45</f>
        <v>64098.204795000012</v>
      </c>
      <c r="K7" s="7">
        <f>K6*K45</f>
        <v>65832.86232</v>
      </c>
      <c r="L7" s="7">
        <f>L6*L45</f>
        <v>64568.907305100023</v>
      </c>
    </row>
    <row r="8" spans="1:255" x14ac:dyDescent="0.2">
      <c r="B8" s="6" t="s">
        <v>9</v>
      </c>
      <c r="C8" s="8">
        <f t="shared" ref="C8:G8" si="1">C6-C7</f>
        <v>10472</v>
      </c>
      <c r="D8" s="8">
        <f t="shared" si="1"/>
        <v>13898</v>
      </c>
      <c r="E8" s="8">
        <f t="shared" si="1"/>
        <v>-1416</v>
      </c>
      <c r="F8" s="8">
        <f t="shared" si="1"/>
        <v>5613</v>
      </c>
      <c r="G8" s="8">
        <f t="shared" si="1"/>
        <v>14873</v>
      </c>
      <c r="H8" s="8">
        <f>H6-H7</f>
        <v>22279.473900000001</v>
      </c>
      <c r="I8" s="8">
        <f>I6-I7</f>
        <v>31075.435650000007</v>
      </c>
      <c r="J8" s="8">
        <f>J6-J7</f>
        <v>30163.861080000002</v>
      </c>
      <c r="K8" s="8">
        <f>K6-K7</f>
        <v>43888.574880000015</v>
      </c>
      <c r="L8" s="8">
        <f>L6-L7</f>
        <v>52829.105976900006</v>
      </c>
      <c r="P8" s="18"/>
      <c r="Q8" s="18"/>
      <c r="R8" s="18"/>
      <c r="S8" s="18"/>
    </row>
    <row r="9" spans="1:255" x14ac:dyDescent="0.2">
      <c r="B9" s="3"/>
      <c r="C9" s="3"/>
      <c r="D9" s="3"/>
      <c r="E9" s="3"/>
      <c r="F9" s="3"/>
      <c r="G9" s="3"/>
      <c r="H9" s="3"/>
      <c r="I9" s="3"/>
      <c r="J9" s="3"/>
      <c r="K9" s="3"/>
      <c r="L9" s="3"/>
    </row>
    <row r="10" spans="1:255" x14ac:dyDescent="0.2">
      <c r="B10" s="3" t="s">
        <v>10</v>
      </c>
      <c r="C10" s="7">
        <v>894</v>
      </c>
      <c r="D10" s="7">
        <v>1066</v>
      </c>
      <c r="E10" s="7">
        <v>920</v>
      </c>
      <c r="F10" s="7">
        <v>1129</v>
      </c>
      <c r="G10" s="7">
        <v>1205</v>
      </c>
      <c r="H10" s="7">
        <f>H6*H46</f>
        <v>1813.4455500000001</v>
      </c>
      <c r="I10" s="7">
        <f>I6*I46</f>
        <v>2589.6196375000004</v>
      </c>
      <c r="J10" s="7">
        <f>J6*J46</f>
        <v>3299.1723056250007</v>
      </c>
      <c r="K10" s="7">
        <f>K6*K46</f>
        <v>3840.2503020000008</v>
      </c>
      <c r="L10" s="7">
        <f>L6*L46</f>
        <v>4108.9304648700017</v>
      </c>
    </row>
    <row r="11" spans="1:255" x14ac:dyDescent="0.2">
      <c r="B11" s="3" t="s">
        <v>11</v>
      </c>
      <c r="C11" s="7">
        <v>2663</v>
      </c>
      <c r="D11" s="7">
        <v>3116</v>
      </c>
      <c r="E11" s="7">
        <v>3114</v>
      </c>
      <c r="F11" s="7">
        <v>3430</v>
      </c>
      <c r="G11" s="7">
        <v>3798</v>
      </c>
      <c r="H11" s="7">
        <f>H6*H47</f>
        <v>5181.2730000000001</v>
      </c>
      <c r="I11" s="7">
        <f>I6*I47</f>
        <v>5919.1306000000004</v>
      </c>
      <c r="J11" s="7">
        <f>J6*J47</f>
        <v>6598.3446112500014</v>
      </c>
      <c r="K11" s="7">
        <f>K6*K47</f>
        <v>6583.2862320000004</v>
      </c>
      <c r="L11" s="7">
        <f>L6*L47</f>
        <v>7043.8807969200016</v>
      </c>
      <c r="N11" s="42"/>
    </row>
    <row r="12" spans="1:255" x14ac:dyDescent="0.2">
      <c r="B12" s="3" t="s">
        <v>163</v>
      </c>
      <c r="C12" s="7">
        <v>488</v>
      </c>
      <c r="D12" s="7">
        <v>48</v>
      </c>
      <c r="E12" s="7">
        <v>171</v>
      </c>
      <c r="F12" s="7">
        <v>1</v>
      </c>
      <c r="G12" s="7">
        <v>39</v>
      </c>
      <c r="H12" s="64">
        <v>149.4</v>
      </c>
      <c r="I12" s="64">
        <v>149.4</v>
      </c>
      <c r="J12" s="64">
        <v>149.4</v>
      </c>
      <c r="K12" s="64">
        <v>149.4</v>
      </c>
      <c r="L12" s="64">
        <v>149.4</v>
      </c>
      <c r="N12" s="42"/>
    </row>
    <row r="13" spans="1:255" x14ac:dyDescent="0.2">
      <c r="B13" s="3" t="s">
        <v>170</v>
      </c>
      <c r="C13" s="7">
        <v>95</v>
      </c>
      <c r="D13" s="7">
        <v>-34</v>
      </c>
      <c r="E13" s="7">
        <v>124</v>
      </c>
      <c r="F13" s="7">
        <v>-251</v>
      </c>
      <c r="G13" s="7">
        <v>61</v>
      </c>
      <c r="H13" s="7" t="s">
        <v>7</v>
      </c>
      <c r="I13" s="7" t="s">
        <v>7</v>
      </c>
      <c r="J13" s="7" t="s">
        <v>7</v>
      </c>
      <c r="K13" s="7" t="s">
        <v>7</v>
      </c>
      <c r="L13" s="7" t="s">
        <v>7</v>
      </c>
      <c r="N13" s="42"/>
    </row>
    <row r="14" spans="1:255" x14ac:dyDescent="0.2">
      <c r="B14" s="6" t="s">
        <v>164</v>
      </c>
      <c r="C14" s="8">
        <f t="shared" ref="C14:L14" si="2">C8-SUM(C10:C13)</f>
        <v>6332</v>
      </c>
      <c r="D14" s="8">
        <f t="shared" si="2"/>
        <v>9702</v>
      </c>
      <c r="E14" s="8">
        <f t="shared" si="2"/>
        <v>-5745</v>
      </c>
      <c r="F14" s="8">
        <f t="shared" si="2"/>
        <v>1304</v>
      </c>
      <c r="G14" s="8">
        <f t="shared" si="2"/>
        <v>9770</v>
      </c>
      <c r="H14" s="8">
        <f t="shared" si="2"/>
        <v>15135.355350000002</v>
      </c>
      <c r="I14" s="8">
        <f t="shared" si="2"/>
        <v>22417.285412500009</v>
      </c>
      <c r="J14" s="8">
        <f t="shared" si="2"/>
        <v>20116.944163125001</v>
      </c>
      <c r="K14" s="8">
        <f t="shared" si="2"/>
        <v>33315.638346000014</v>
      </c>
      <c r="L14" s="8">
        <f t="shared" si="2"/>
        <v>41526.89471511</v>
      </c>
    </row>
    <row r="15" spans="1:255" x14ac:dyDescent="0.2">
      <c r="B15" s="3"/>
      <c r="C15" s="3"/>
      <c r="D15" s="3"/>
      <c r="E15" s="3"/>
      <c r="F15" s="3"/>
      <c r="G15" s="3"/>
      <c r="H15" s="3"/>
      <c r="I15" s="3"/>
      <c r="J15" s="3"/>
      <c r="K15" s="3"/>
      <c r="L15" s="3"/>
      <c r="P15" s="18"/>
      <c r="Q15" s="18"/>
      <c r="R15" s="18"/>
      <c r="S15" s="18"/>
      <c r="T15" s="18"/>
    </row>
    <row r="16" spans="1:255" x14ac:dyDescent="0.2">
      <c r="B16" s="3" t="s">
        <v>13</v>
      </c>
      <c r="C16" s="7">
        <v>-183</v>
      </c>
      <c r="D16" s="7">
        <v>-189</v>
      </c>
      <c r="E16" s="7">
        <v>-388</v>
      </c>
      <c r="F16" s="7">
        <v>-562</v>
      </c>
      <c r="G16" s="7">
        <v>-477</v>
      </c>
      <c r="H16" s="7">
        <f>-H6*H48</f>
        <v>-673.56548999999995</v>
      </c>
      <c r="I16" s="7">
        <f>-I6*I48</f>
        <v>-961.8587225</v>
      </c>
      <c r="J16" s="7">
        <f>-J6*J48</f>
        <v>-1225.4068563750002</v>
      </c>
      <c r="K16" s="7">
        <f>-K6*K48</f>
        <v>-1426.3786836000002</v>
      </c>
      <c r="L16" s="7">
        <f>-L6*L48</f>
        <v>-1526.1741726660002</v>
      </c>
      <c r="M16" s="7"/>
    </row>
    <row r="17" spans="2:13" x14ac:dyDescent="0.2">
      <c r="B17" s="3" t="s">
        <v>14</v>
      </c>
      <c r="C17" s="7">
        <v>37</v>
      </c>
      <c r="D17" s="7">
        <v>96</v>
      </c>
      <c r="E17" s="7">
        <v>468</v>
      </c>
      <c r="F17" s="7">
        <v>529</v>
      </c>
      <c r="G17" s="7">
        <v>496</v>
      </c>
      <c r="H17" s="7">
        <f>H6*H51</f>
        <v>170.98200899999998</v>
      </c>
      <c r="I17" s="7">
        <f>I6*I51</f>
        <v>244.16413725000001</v>
      </c>
      <c r="J17" s="7">
        <f>J6*J51</f>
        <v>311.06481738750006</v>
      </c>
      <c r="K17" s="7">
        <f>K6*K51</f>
        <v>362.08074276000002</v>
      </c>
      <c r="L17" s="7">
        <f>L6*L51</f>
        <v>387.4134438306001</v>
      </c>
    </row>
    <row r="18" spans="2:13" x14ac:dyDescent="0.2">
      <c r="B18" s="3" t="s">
        <v>165</v>
      </c>
      <c r="C18" s="7">
        <v>81</v>
      </c>
      <c r="D18" s="7">
        <v>-38</v>
      </c>
      <c r="E18" s="7">
        <v>7</v>
      </c>
      <c r="F18" s="7">
        <v>-31</v>
      </c>
      <c r="G18" s="7">
        <v>-135</v>
      </c>
      <c r="H18" s="7" t="s">
        <v>7</v>
      </c>
      <c r="I18" s="7" t="s">
        <v>7</v>
      </c>
      <c r="J18" s="7" t="s">
        <v>7</v>
      </c>
      <c r="K18" s="7" t="s">
        <v>7</v>
      </c>
      <c r="L18" s="7" t="s">
        <v>7</v>
      </c>
    </row>
    <row r="19" spans="2:13" x14ac:dyDescent="0.2">
      <c r="B19" s="6" t="s">
        <v>169</v>
      </c>
      <c r="C19" s="8">
        <f t="shared" ref="C19:F19" si="3">C14+SUM(C16:C18)</f>
        <v>6267</v>
      </c>
      <c r="D19" s="8">
        <f t="shared" si="3"/>
        <v>9571</v>
      </c>
      <c r="E19" s="8">
        <f t="shared" si="3"/>
        <v>-5658</v>
      </c>
      <c r="F19" s="8">
        <f t="shared" si="3"/>
        <v>1240</v>
      </c>
      <c r="G19" s="8">
        <f>G14+SUM(G16:G18)</f>
        <v>9654</v>
      </c>
      <c r="H19" s="8">
        <f t="shared" ref="H19:L19" si="4">H14+SUM(H16:H18)</f>
        <v>14632.771869000002</v>
      </c>
      <c r="I19" s="8">
        <f t="shared" si="4"/>
        <v>21699.590827250009</v>
      </c>
      <c r="J19" s="8">
        <f t="shared" si="4"/>
        <v>19202.602124137502</v>
      </c>
      <c r="K19" s="8">
        <f t="shared" si="4"/>
        <v>32251.340405160016</v>
      </c>
      <c r="L19" s="8">
        <f t="shared" si="4"/>
        <v>40388.133986274603</v>
      </c>
    </row>
    <row r="20" spans="2:13" x14ac:dyDescent="0.2">
      <c r="B20" s="3"/>
      <c r="C20" s="3"/>
      <c r="D20" s="3"/>
      <c r="E20" s="3"/>
      <c r="F20" s="3"/>
      <c r="G20" s="3"/>
      <c r="H20" s="3"/>
      <c r="I20" s="3"/>
      <c r="J20" s="3"/>
      <c r="K20" s="3"/>
      <c r="L20" s="3"/>
    </row>
    <row r="21" spans="2:13" x14ac:dyDescent="0.2">
      <c r="B21" s="3" t="s">
        <v>166</v>
      </c>
      <c r="C21" s="7">
        <v>-394</v>
      </c>
      <c r="D21" s="7">
        <v>-888</v>
      </c>
      <c r="E21" s="7">
        <v>-177</v>
      </c>
      <c r="F21" s="7">
        <v>-451</v>
      </c>
      <c r="G21" s="7">
        <v>-1124</v>
      </c>
      <c r="H21" s="7">
        <f>H19*H54</f>
        <v>3072.8820924900001</v>
      </c>
      <c r="I21" s="7">
        <f>I19*I54</f>
        <v>4556.9140737225016</v>
      </c>
      <c r="J21" s="7">
        <f>J19*J54</f>
        <v>4032.5464460688754</v>
      </c>
      <c r="K21" s="7">
        <f>K19*K54</f>
        <v>6772.781485083603</v>
      </c>
      <c r="L21" s="7">
        <f>L19*L54</f>
        <v>8481.5081371176657</v>
      </c>
      <c r="M21" s="7"/>
    </row>
    <row r="22" spans="2:13" x14ac:dyDescent="0.2">
      <c r="B22" s="3" t="s">
        <v>167</v>
      </c>
      <c r="C22" s="7">
        <v>37</v>
      </c>
      <c r="D22" s="7">
        <v>4</v>
      </c>
      <c r="E22" s="7">
        <v>2</v>
      </c>
      <c r="F22" s="7">
        <v>-11</v>
      </c>
      <c r="G22" s="7">
        <v>9</v>
      </c>
      <c r="H22" s="7" t="s">
        <v>7</v>
      </c>
      <c r="I22" s="7" t="s">
        <v>7</v>
      </c>
      <c r="J22" s="7" t="s">
        <v>7</v>
      </c>
      <c r="K22" s="7" t="s">
        <v>7</v>
      </c>
      <c r="L22" s="7" t="s">
        <v>7</v>
      </c>
    </row>
    <row r="23" spans="2:13" x14ac:dyDescent="0.2">
      <c r="B23" s="6" t="s">
        <v>168</v>
      </c>
      <c r="C23" s="8">
        <f t="shared" ref="C23:G23" si="5">C19+SUM(C21:C22)</f>
        <v>5910</v>
      </c>
      <c r="D23" s="8">
        <f t="shared" si="5"/>
        <v>8687</v>
      </c>
      <c r="E23" s="8">
        <f t="shared" si="5"/>
        <v>-5833</v>
      </c>
      <c r="F23" s="8">
        <f t="shared" si="5"/>
        <v>778</v>
      </c>
      <c r="G23" s="8">
        <f t="shared" si="5"/>
        <v>8539</v>
      </c>
      <c r="H23" s="8">
        <f>H19+SUM(H21:H22)</f>
        <v>17705.653961490003</v>
      </c>
      <c r="I23" s="8">
        <f t="shared" ref="I23:L23" si="6">I19+SUM(I21:I22)</f>
        <v>26256.504900972512</v>
      </c>
      <c r="J23" s="8">
        <f t="shared" si="6"/>
        <v>23235.148570206376</v>
      </c>
      <c r="K23" s="8">
        <f t="shared" si="6"/>
        <v>39024.121890243616</v>
      </c>
      <c r="L23" s="8">
        <f t="shared" si="6"/>
        <v>48869.642123392267</v>
      </c>
    </row>
    <row r="24" spans="2:13" x14ac:dyDescent="0.2">
      <c r="B24" s="3"/>
      <c r="C24" s="3"/>
      <c r="D24" s="3"/>
      <c r="E24" s="3"/>
      <c r="F24" s="3"/>
      <c r="G24" s="3"/>
      <c r="H24" s="3"/>
      <c r="I24" s="3"/>
      <c r="J24" s="3"/>
      <c r="K24" s="3"/>
      <c r="L24" s="3"/>
    </row>
    <row r="26" spans="2:13" x14ac:dyDescent="0.2">
      <c r="C26" s="18"/>
      <c r="D26" s="18"/>
      <c r="E26" s="18"/>
      <c r="F26" s="18"/>
      <c r="G26" s="18"/>
    </row>
    <row r="28" spans="2:13" x14ac:dyDescent="0.2">
      <c r="B28" s="47" t="s">
        <v>135</v>
      </c>
      <c r="C28" s="47"/>
      <c r="D28" s="47"/>
      <c r="E28" s="47"/>
      <c r="F28" s="47"/>
      <c r="G28" s="47"/>
      <c r="H28" s="47"/>
      <c r="I28" s="47"/>
      <c r="J28" s="47"/>
      <c r="K28" s="47"/>
      <c r="L28" s="47"/>
    </row>
    <row r="29" spans="2:13" ht="20.399999999999999" x14ac:dyDescent="0.2">
      <c r="B29" s="48" t="s">
        <v>1</v>
      </c>
      <c r="C29" s="49" t="s">
        <v>134</v>
      </c>
      <c r="D29" s="49" t="s">
        <v>133</v>
      </c>
      <c r="E29" s="49" t="s">
        <v>132</v>
      </c>
      <c r="F29" s="49" t="s">
        <v>131</v>
      </c>
      <c r="G29" s="49" t="s">
        <v>125</v>
      </c>
      <c r="H29" s="49" t="s">
        <v>126</v>
      </c>
      <c r="I29" s="49" t="s">
        <v>127</v>
      </c>
      <c r="J29" s="49" t="s">
        <v>128</v>
      </c>
      <c r="K29" s="49" t="s">
        <v>129</v>
      </c>
      <c r="L29" s="49" t="s">
        <v>130</v>
      </c>
    </row>
    <row r="30" spans="2:13" ht="17.399999999999999" x14ac:dyDescent="0.3">
      <c r="B30" s="32" t="s">
        <v>5</v>
      </c>
      <c r="C30" s="20"/>
      <c r="D30" s="21"/>
      <c r="E30" s="21"/>
      <c r="F30" s="21"/>
      <c r="G30" s="21"/>
      <c r="H30" s="26"/>
      <c r="I30" s="26"/>
      <c r="J30" s="26"/>
      <c r="K30" s="26"/>
      <c r="L30" s="26"/>
    </row>
    <row r="31" spans="2:13" ht="15" x14ac:dyDescent="0.25">
      <c r="B31" s="100" t="s">
        <v>139</v>
      </c>
      <c r="C31" s="40" t="s">
        <v>122</v>
      </c>
      <c r="D31" s="40" t="s">
        <v>122</v>
      </c>
      <c r="E31" s="101">
        <v>1872</v>
      </c>
      <c r="F31" s="101">
        <v>3792</v>
      </c>
      <c r="G31" s="101">
        <v>13524</v>
      </c>
      <c r="H31" s="101">
        <f>G31*(1+H32)</f>
        <v>23667</v>
      </c>
      <c r="I31" s="101">
        <f t="shared" ref="I31:L31" si="7">H31*(1+I32)</f>
        <v>37867.200000000004</v>
      </c>
      <c r="J31" s="101">
        <f t="shared" si="7"/>
        <v>51120.720000000008</v>
      </c>
      <c r="K31" s="101">
        <f t="shared" si="7"/>
        <v>61344.864000000009</v>
      </c>
      <c r="L31" s="101">
        <f t="shared" si="7"/>
        <v>66252.45312000002</v>
      </c>
    </row>
    <row r="32" spans="2:13" ht="15.6" x14ac:dyDescent="0.3">
      <c r="B32" s="102" t="s">
        <v>138</v>
      </c>
      <c r="C32" s="40" t="s">
        <v>122</v>
      </c>
      <c r="D32" s="40" t="s">
        <v>122</v>
      </c>
      <c r="E32" s="103" t="s">
        <v>122</v>
      </c>
      <c r="F32" s="29">
        <f>F31/E31-1</f>
        <v>1.0256410256410255</v>
      </c>
      <c r="G32" s="29">
        <f>G31/F31-1</f>
        <v>2.5664556962025316</v>
      </c>
      <c r="H32" s="36">
        <v>0.75</v>
      </c>
      <c r="I32" s="36">
        <v>0.6</v>
      </c>
      <c r="J32" s="36">
        <v>0.35</v>
      </c>
      <c r="K32" s="36">
        <v>0.2</v>
      </c>
      <c r="L32" s="36">
        <v>0.08</v>
      </c>
    </row>
    <row r="33" spans="2:12" ht="15" x14ac:dyDescent="0.25">
      <c r="B33" s="100" t="s">
        <v>140</v>
      </c>
      <c r="C33" s="40" t="s">
        <v>122</v>
      </c>
      <c r="D33" s="40" t="s">
        <v>122</v>
      </c>
      <c r="E33" s="101">
        <v>7394</v>
      </c>
      <c r="F33" s="101">
        <v>11667</v>
      </c>
      <c r="G33" s="101">
        <v>11859</v>
      </c>
      <c r="H33" s="101">
        <f>G33*(1+H34)</f>
        <v>13282.080000000002</v>
      </c>
      <c r="I33" s="101">
        <f t="shared" ref="I33" si="8">H33*(1+I34)</f>
        <v>16602.600000000002</v>
      </c>
      <c r="J33" s="101">
        <f t="shared" ref="J33" si="9">I33*(1+J34)</f>
        <v>19923.120000000003</v>
      </c>
      <c r="K33" s="101">
        <f t="shared" ref="K33" si="10">J33*(1+K34)</f>
        <v>21915.432000000004</v>
      </c>
      <c r="L33" s="101">
        <f t="shared" ref="L33" si="11">K33*(1+L34)</f>
        <v>23011.203600000004</v>
      </c>
    </row>
    <row r="34" spans="2:12" ht="15.6" x14ac:dyDescent="0.3">
      <c r="B34" s="102" t="s">
        <v>138</v>
      </c>
      <c r="C34" s="40" t="s">
        <v>122</v>
      </c>
      <c r="D34" s="40" t="s">
        <v>122</v>
      </c>
      <c r="E34" s="103" t="s">
        <v>122</v>
      </c>
      <c r="F34" s="29">
        <f>F33/E33-1</f>
        <v>0.57790100081146867</v>
      </c>
      <c r="G34" s="29">
        <f>G33/F33-1</f>
        <v>1.6456672666495198E-2</v>
      </c>
      <c r="H34" s="36">
        <v>0.12</v>
      </c>
      <c r="I34" s="36">
        <v>0.25</v>
      </c>
      <c r="J34" s="36">
        <v>0.2</v>
      </c>
      <c r="K34" s="36">
        <v>0.1</v>
      </c>
      <c r="L34" s="36">
        <v>0.05</v>
      </c>
    </row>
    <row r="35" spans="2:12" ht="13.2" x14ac:dyDescent="0.25">
      <c r="B35" s="104" t="s">
        <v>141</v>
      </c>
      <c r="C35" s="40" t="s">
        <v>122</v>
      </c>
      <c r="D35" s="40" t="s">
        <v>122</v>
      </c>
      <c r="E35" s="105">
        <v>4139</v>
      </c>
      <c r="F35" s="105">
        <v>4631</v>
      </c>
      <c r="G35" s="105">
        <v>4753</v>
      </c>
      <c r="H35" s="101">
        <f>G35*(1+H36)</f>
        <v>5465.95</v>
      </c>
      <c r="I35" s="101">
        <f t="shared" ref="I35" si="12">H35*(1+I36)</f>
        <v>6832.4375</v>
      </c>
      <c r="J35" s="101">
        <f t="shared" ref="J35" si="13">I35*(1+J36)</f>
        <v>7993.9518749999997</v>
      </c>
      <c r="K35" s="101">
        <f t="shared" ref="K35" si="14">J35*(1+K36)</f>
        <v>8953.2260999999999</v>
      </c>
      <c r="L35" s="101">
        <f t="shared" ref="L35" si="15">K35*(1+L36)</f>
        <v>9400.8874049999995</v>
      </c>
    </row>
    <row r="36" spans="2:12" ht="15.6" x14ac:dyDescent="0.3">
      <c r="B36" s="102" t="s">
        <v>138</v>
      </c>
      <c r="C36" s="40" t="s">
        <v>122</v>
      </c>
      <c r="D36" s="40" t="s">
        <v>122</v>
      </c>
      <c r="E36" s="103" t="s">
        <v>122</v>
      </c>
      <c r="F36" s="29">
        <f>F35/E35-1</f>
        <v>0.11886929209954089</v>
      </c>
      <c r="G36" s="29">
        <f>G35/F35-1</f>
        <v>2.6344202116173721E-2</v>
      </c>
      <c r="H36" s="36">
        <v>0.15</v>
      </c>
      <c r="I36" s="36">
        <v>0.25</v>
      </c>
      <c r="J36" s="36">
        <v>0.17</v>
      </c>
      <c r="K36" s="36">
        <v>0.12</v>
      </c>
      <c r="L36" s="36">
        <v>0.05</v>
      </c>
    </row>
    <row r="37" spans="2:12" ht="15" x14ac:dyDescent="0.25">
      <c r="B37" s="106" t="s">
        <v>142</v>
      </c>
      <c r="C37" s="40" t="s">
        <v>122</v>
      </c>
      <c r="D37" s="40" t="s">
        <v>122</v>
      </c>
      <c r="E37" s="107">
        <v>2124</v>
      </c>
      <c r="F37" s="107">
        <v>4984</v>
      </c>
      <c r="G37" s="107">
        <v>7229</v>
      </c>
      <c r="H37" s="101">
        <f>G37*(1+H38)</f>
        <v>9397.7000000000007</v>
      </c>
      <c r="I37" s="101">
        <f t="shared" ref="I37" si="16">H37*(1+I38)</f>
        <v>12686.895000000002</v>
      </c>
      <c r="J37" s="101">
        <f t="shared" ref="J37" si="17">I37*(1+J38)</f>
        <v>15224.274000000001</v>
      </c>
      <c r="K37" s="101">
        <f t="shared" ref="K37" si="18">J37*(1+K38)</f>
        <v>17507.915099999998</v>
      </c>
      <c r="L37" s="101">
        <f t="shared" ref="L37" si="19">K37*(1+L38)</f>
        <v>18733.469157</v>
      </c>
    </row>
    <row r="38" spans="2:12" ht="15.6" x14ac:dyDescent="0.3">
      <c r="B38" s="102" t="s">
        <v>138</v>
      </c>
      <c r="C38" s="40" t="s">
        <v>122</v>
      </c>
      <c r="D38" s="40" t="s">
        <v>122</v>
      </c>
      <c r="E38" s="103" t="s">
        <v>122</v>
      </c>
      <c r="F38" s="31">
        <f>F37/E37-1</f>
        <v>1.3465160075329567</v>
      </c>
      <c r="G38" s="31">
        <f>G37/F37-1</f>
        <v>0.4504414125200642</v>
      </c>
      <c r="H38" s="36">
        <v>0.3</v>
      </c>
      <c r="I38" s="36">
        <v>0.35</v>
      </c>
      <c r="J38" s="36">
        <v>0.2</v>
      </c>
      <c r="K38" s="36">
        <v>0.15</v>
      </c>
      <c r="L38" s="36">
        <v>7.0000000000000007E-2</v>
      </c>
    </row>
    <row r="39" spans="2:12" ht="15" x14ac:dyDescent="0.25">
      <c r="B39" s="106" t="s">
        <v>6</v>
      </c>
      <c r="C39" s="40" t="s">
        <v>122</v>
      </c>
      <c r="D39" s="40" t="s">
        <v>122</v>
      </c>
      <c r="E39" s="107">
        <v>11</v>
      </c>
      <c r="F39" s="107">
        <v>37</v>
      </c>
      <c r="G39" s="107">
        <v>13</v>
      </c>
      <c r="H39" s="101">
        <v>0</v>
      </c>
      <c r="I39" s="101">
        <v>0</v>
      </c>
      <c r="J39" s="101">
        <v>0</v>
      </c>
      <c r="K39" s="101">
        <v>0</v>
      </c>
      <c r="L39" s="101">
        <v>0</v>
      </c>
    </row>
    <row r="40" spans="2:12" ht="16.2" thickBot="1" x14ac:dyDescent="0.35">
      <c r="B40" s="108" t="s">
        <v>138</v>
      </c>
      <c r="C40" s="41" t="s">
        <v>122</v>
      </c>
      <c r="D40" s="41" t="s">
        <v>122</v>
      </c>
      <c r="E40" s="109" t="s">
        <v>122</v>
      </c>
      <c r="F40" s="30">
        <f>F39/E39-1</f>
        <v>2.3636363636363638</v>
      </c>
      <c r="G40" s="30">
        <f>G39/F39-1</f>
        <v>-0.64864864864864868</v>
      </c>
      <c r="H40" s="35">
        <v>0</v>
      </c>
      <c r="I40" s="35">
        <v>0</v>
      </c>
      <c r="J40" s="35">
        <v>0</v>
      </c>
      <c r="K40" s="35">
        <v>0</v>
      </c>
      <c r="L40" s="35">
        <v>0</v>
      </c>
    </row>
    <row r="41" spans="2:12" ht="15.6" x14ac:dyDescent="0.3">
      <c r="B41" s="110" t="s">
        <v>123</v>
      </c>
      <c r="C41" s="66" t="s">
        <v>122</v>
      </c>
      <c r="D41" s="66" t="s">
        <v>122</v>
      </c>
      <c r="E41" s="37">
        <f>E31+E33+E35+E37+E39</f>
        <v>15540</v>
      </c>
      <c r="F41" s="37">
        <f t="shared" ref="F41:L41" si="20">F31+F33+F35+F37+F39</f>
        <v>25111</v>
      </c>
      <c r="G41" s="37">
        <f t="shared" si="20"/>
        <v>37378</v>
      </c>
      <c r="H41" s="37">
        <f t="shared" si="20"/>
        <v>51812.729999999996</v>
      </c>
      <c r="I41" s="37">
        <f t="shared" si="20"/>
        <v>73989.132500000007</v>
      </c>
      <c r="J41" s="37">
        <f t="shared" si="20"/>
        <v>94262.065875000015</v>
      </c>
      <c r="K41" s="37">
        <f t="shared" si="20"/>
        <v>109721.43720000001</v>
      </c>
      <c r="L41" s="37">
        <f t="shared" si="20"/>
        <v>117398.01328200003</v>
      </c>
    </row>
    <row r="42" spans="2:12" ht="15.6" x14ac:dyDescent="0.3">
      <c r="B42" s="102" t="s">
        <v>138</v>
      </c>
      <c r="C42" s="40" t="s">
        <v>122</v>
      </c>
      <c r="D42" s="40" t="s">
        <v>122</v>
      </c>
      <c r="E42" s="103" t="s">
        <v>122</v>
      </c>
      <c r="F42" s="29">
        <f>F41/E41-1</f>
        <v>0.61589446589446584</v>
      </c>
      <c r="G42" s="29">
        <f>G41/F41-1</f>
        <v>0.48851101111066852</v>
      </c>
      <c r="H42" s="29">
        <f t="shared" ref="H42:L42" si="21">H41/G41-1</f>
        <v>0.38618251377815827</v>
      </c>
      <c r="I42" s="29">
        <f t="shared" si="21"/>
        <v>0.42801069351103505</v>
      </c>
      <c r="J42" s="29">
        <f t="shared" si="21"/>
        <v>0.27399879806672978</v>
      </c>
      <c r="K42" s="29">
        <f t="shared" si="21"/>
        <v>0.16400416415125596</v>
      </c>
      <c r="L42" s="29">
        <f t="shared" si="21"/>
        <v>6.9964231948649758E-2</v>
      </c>
    </row>
    <row r="43" spans="2:12" ht="15.6" x14ac:dyDescent="0.3">
      <c r="B43" s="111"/>
      <c r="C43" s="112"/>
      <c r="D43" s="112"/>
      <c r="E43" s="103"/>
      <c r="F43" s="29"/>
      <c r="G43" s="29"/>
      <c r="H43" s="29"/>
      <c r="I43" s="29"/>
      <c r="J43" s="29"/>
      <c r="K43" s="29"/>
      <c r="L43" s="29"/>
    </row>
    <row r="44" spans="2:12" ht="17.399999999999999" x14ac:dyDescent="0.3">
      <c r="B44" s="32" t="s">
        <v>176</v>
      </c>
      <c r="C44" s="112"/>
      <c r="D44" s="112"/>
      <c r="E44" s="103"/>
      <c r="F44" s="29"/>
      <c r="G44" s="29"/>
      <c r="H44" s="29"/>
      <c r="I44" s="29"/>
      <c r="J44" s="29"/>
      <c r="K44" s="29"/>
      <c r="L44" s="29"/>
    </row>
    <row r="45" spans="2:12" ht="15" x14ac:dyDescent="0.25">
      <c r="B45" s="100" t="s">
        <v>143</v>
      </c>
      <c r="C45" s="39">
        <f>C7/C6</f>
        <v>0.62201768633820609</v>
      </c>
      <c r="D45" s="39">
        <f t="shared" ref="D45:G45" si="22">D7/D6</f>
        <v>0.54815007477729372</v>
      </c>
      <c r="E45" s="39">
        <f t="shared" si="22"/>
        <v>1.0911196911196912</v>
      </c>
      <c r="F45" s="39">
        <f t="shared" si="22"/>
        <v>0.77647246226753219</v>
      </c>
      <c r="G45" s="39">
        <f t="shared" si="22"/>
        <v>0.60209213976135689</v>
      </c>
      <c r="H45" s="38">
        <v>0.56999999999999995</v>
      </c>
      <c r="I45" s="38">
        <v>0.57999999999999996</v>
      </c>
      <c r="J45" s="38">
        <v>0.68</v>
      </c>
      <c r="K45" s="38">
        <v>0.6</v>
      </c>
      <c r="L45" s="38">
        <v>0.55000000000000004</v>
      </c>
    </row>
    <row r="46" spans="2:12" ht="15" x14ac:dyDescent="0.25">
      <c r="B46" s="100" t="s">
        <v>136</v>
      </c>
      <c r="C46" s="39">
        <f>C10/C6</f>
        <v>3.2268543584190582E-2</v>
      </c>
      <c r="D46" s="39">
        <f t="shared" ref="D46:G46" si="23">D10/D6</f>
        <v>3.4657650042265425E-2</v>
      </c>
      <c r="E46" s="39">
        <f t="shared" si="23"/>
        <v>5.9202059202059204E-2</v>
      </c>
      <c r="F46" s="39">
        <f t="shared" si="23"/>
        <v>4.496037593086695E-2</v>
      </c>
      <c r="G46" s="39">
        <f t="shared" si="23"/>
        <v>3.2238214992776501E-2</v>
      </c>
      <c r="H46" s="38">
        <v>3.5000000000000003E-2</v>
      </c>
      <c r="I46" s="38">
        <v>3.5000000000000003E-2</v>
      </c>
      <c r="J46" s="38">
        <v>3.5000000000000003E-2</v>
      </c>
      <c r="K46" s="38">
        <v>3.5000000000000003E-2</v>
      </c>
      <c r="L46" s="38">
        <v>3.5000000000000003E-2</v>
      </c>
    </row>
    <row r="47" spans="2:12" ht="15" x14ac:dyDescent="0.25">
      <c r="B47" s="100" t="s">
        <v>137</v>
      </c>
      <c r="C47" s="39">
        <f>C11/C6</f>
        <v>9.6119833964988272E-2</v>
      </c>
      <c r="D47" s="39">
        <f t="shared" ref="D47:G47" si="24">D11/D6</f>
        <v>0.10130697704662202</v>
      </c>
      <c r="E47" s="39">
        <f t="shared" si="24"/>
        <v>0.20038610038610039</v>
      </c>
      <c r="F47" s="39">
        <f t="shared" si="24"/>
        <v>0.13659352475010952</v>
      </c>
      <c r="G47" s="39">
        <f t="shared" si="24"/>
        <v>0.10161057306436941</v>
      </c>
      <c r="H47" s="38">
        <v>0.1</v>
      </c>
      <c r="I47" s="38">
        <v>0.08</v>
      </c>
      <c r="J47" s="38">
        <v>7.0000000000000007E-2</v>
      </c>
      <c r="K47" s="38">
        <v>0.06</v>
      </c>
      <c r="L47" s="38">
        <v>0.06</v>
      </c>
    </row>
    <row r="48" spans="2:12" ht="15" x14ac:dyDescent="0.25">
      <c r="B48" s="100" t="s">
        <v>13</v>
      </c>
      <c r="C48" s="39">
        <f>ABS(C16/C6)</f>
        <v>6.6053059014618302E-3</v>
      </c>
      <c r="D48" s="39">
        <f t="shared" ref="D48:G48" si="25">ABS(D16/D6)</f>
        <v>6.1447428311333634E-3</v>
      </c>
      <c r="E48" s="39">
        <f t="shared" si="25"/>
        <v>2.4967824967824969E-2</v>
      </c>
      <c r="F48" s="39">
        <f t="shared" si="25"/>
        <v>2.2380630002787623E-2</v>
      </c>
      <c r="G48" s="39">
        <f t="shared" si="25"/>
        <v>1.2761517470169619E-2</v>
      </c>
      <c r="H48" s="38">
        <v>1.2999999999999999E-2</v>
      </c>
      <c r="I48" s="38">
        <v>1.2999999999999999E-2</v>
      </c>
      <c r="J48" s="38">
        <v>1.2999999999999999E-2</v>
      </c>
      <c r="K48" s="38">
        <v>1.2999999999999999E-2</v>
      </c>
      <c r="L48" s="38">
        <v>1.2999999999999999E-2</v>
      </c>
    </row>
    <row r="49" spans="2:12" ht="15" x14ac:dyDescent="0.25">
      <c r="B49" s="100"/>
      <c r="C49" s="39"/>
      <c r="D49" s="39"/>
      <c r="E49" s="39"/>
      <c r="F49" s="39"/>
      <c r="G49" s="39"/>
      <c r="H49" s="38"/>
      <c r="I49" s="38"/>
      <c r="J49" s="38"/>
      <c r="K49" s="38"/>
      <c r="L49" s="38"/>
    </row>
    <row r="50" spans="2:12" ht="17.399999999999999" x14ac:dyDescent="0.3">
      <c r="B50" s="32" t="s">
        <v>177</v>
      </c>
      <c r="C50" s="40"/>
      <c r="D50" s="40"/>
      <c r="E50" s="103"/>
      <c r="F50" s="29"/>
      <c r="G50" s="29"/>
      <c r="H50" s="29"/>
      <c r="I50" s="29"/>
      <c r="J50" s="29"/>
      <c r="K50" s="29"/>
      <c r="L50" s="29"/>
    </row>
    <row r="51" spans="2:12" ht="15" x14ac:dyDescent="0.25">
      <c r="B51" s="100" t="s">
        <v>145</v>
      </c>
      <c r="C51" s="113">
        <f>C17/C6</f>
        <v>1.3354990073993864E-3</v>
      </c>
      <c r="D51" s="113">
        <f t="shared" ref="D51:G51" si="26">D17/D6</f>
        <v>3.121139215813772E-3</v>
      </c>
      <c r="E51" s="113">
        <f t="shared" si="26"/>
        <v>3.0115830115830116E-2</v>
      </c>
      <c r="F51" s="113">
        <f t="shared" si="26"/>
        <v>2.106646489586237E-2</v>
      </c>
      <c r="G51" s="113">
        <f t="shared" si="26"/>
        <v>1.3269837872545348E-2</v>
      </c>
      <c r="H51" s="43">
        <v>3.3E-3</v>
      </c>
      <c r="I51" s="43">
        <v>3.3E-3</v>
      </c>
      <c r="J51" s="43">
        <v>3.3E-3</v>
      </c>
      <c r="K51" s="43">
        <v>3.3E-3</v>
      </c>
      <c r="L51" s="43">
        <v>3.3E-3</v>
      </c>
    </row>
    <row r="52" spans="2:12" ht="15" x14ac:dyDescent="0.25">
      <c r="B52" s="100"/>
      <c r="C52" s="113"/>
      <c r="D52" s="113"/>
      <c r="E52" s="113"/>
      <c r="F52" s="113"/>
      <c r="G52" s="113"/>
      <c r="H52" s="43"/>
      <c r="I52" s="43"/>
      <c r="J52" s="43"/>
      <c r="K52" s="43"/>
      <c r="L52" s="43"/>
    </row>
    <row r="53" spans="2:12" ht="17.399999999999999" x14ac:dyDescent="0.3">
      <c r="B53" s="32" t="s">
        <v>144</v>
      </c>
    </row>
    <row r="54" spans="2:12" ht="15.6" x14ac:dyDescent="0.3">
      <c r="B54" s="33" t="s">
        <v>178</v>
      </c>
      <c r="C54" s="39">
        <f>ABS(C21/C23)</f>
        <v>6.6666666666666666E-2</v>
      </c>
      <c r="D54" s="39">
        <f t="shared" ref="D54:G54" si="27">ABS(D21/D23)</f>
        <v>0.10222171060204904</v>
      </c>
      <c r="E54" s="39">
        <f t="shared" si="27"/>
        <v>3.0344591119492541E-2</v>
      </c>
      <c r="F54" s="39">
        <f t="shared" si="27"/>
        <v>0.57969151670951158</v>
      </c>
      <c r="G54" s="39">
        <f t="shared" si="27"/>
        <v>0.1316313385642347</v>
      </c>
      <c r="H54" s="38">
        <v>0.21</v>
      </c>
      <c r="I54" s="38">
        <v>0.21</v>
      </c>
      <c r="J54" s="38">
        <v>0.21</v>
      </c>
      <c r="K54" s="38">
        <v>0.21</v>
      </c>
      <c r="L54" s="38">
        <v>0.21</v>
      </c>
    </row>
  </sheetData>
  <pageMargins left="0.2" right="0.2" top="0.5" bottom="0.5" header="0.5" footer="0.5"/>
  <pageSetup fitToWidth="0" fitToHeight="0" orientation="landscape" horizontalDpi="0" verticalDpi="0"/>
  <headerFooter alignWithMargins="0"/>
  <ignoredErrors>
    <ignoredError sqref="F41:G41" formula="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160F1-38C4-4583-BAA4-28240A0FB143}">
  <sheetPr>
    <outlinePr summaryBelow="0" summaryRight="0"/>
    <pageSetUpPr autoPageBreaks="0"/>
  </sheetPr>
  <dimension ref="A1:H61"/>
  <sheetViews>
    <sheetView workbookViewId="0"/>
  </sheetViews>
  <sheetFormatPr defaultColWidth="11.5546875" defaultRowHeight="13.2" x14ac:dyDescent="0.25"/>
  <cols>
    <col min="2" max="2" width="45.77734375" customWidth="1"/>
    <col min="3" max="4" width="10.44140625" bestFit="1" customWidth="1"/>
    <col min="5" max="7" width="11.44140625" bestFit="1" customWidth="1"/>
    <col min="8" max="252" width="8.77734375" customWidth="1"/>
  </cols>
  <sheetData>
    <row r="1" spans="1:7" x14ac:dyDescent="0.25">
      <c r="A1" s="116" t="s">
        <v>290</v>
      </c>
      <c r="B1" s="1"/>
      <c r="C1" s="1">
        <v>1</v>
      </c>
      <c r="D1" s="1">
        <v>2</v>
      </c>
      <c r="E1" s="1">
        <v>3</v>
      </c>
      <c r="F1" s="1">
        <v>4</v>
      </c>
      <c r="G1" s="1">
        <v>5</v>
      </c>
    </row>
    <row r="2" spans="1:7" x14ac:dyDescent="0.25">
      <c r="A2" s="1"/>
      <c r="B2" s="4" t="s">
        <v>146</v>
      </c>
      <c r="C2" s="4"/>
      <c r="D2" s="4"/>
      <c r="E2" s="4"/>
      <c r="F2" s="4"/>
      <c r="G2" s="4"/>
    </row>
    <row r="3" spans="1:7" ht="21" x14ac:dyDescent="0.25">
      <c r="A3" s="1"/>
      <c r="B3" s="22" t="s">
        <v>1</v>
      </c>
      <c r="C3" s="23" t="s">
        <v>126</v>
      </c>
      <c r="D3" s="23" t="s">
        <v>127</v>
      </c>
      <c r="E3" s="23" t="s">
        <v>128</v>
      </c>
      <c r="F3" s="23" t="s">
        <v>129</v>
      </c>
      <c r="G3" s="23" t="s">
        <v>130</v>
      </c>
    </row>
    <row r="4" spans="1:7" x14ac:dyDescent="0.25">
      <c r="A4" s="1"/>
      <c r="B4" s="72" t="s">
        <v>171</v>
      </c>
      <c r="C4" s="72"/>
      <c r="D4" s="72"/>
      <c r="E4" s="72"/>
      <c r="F4" s="72"/>
      <c r="G4" s="72"/>
    </row>
    <row r="5" spans="1:7" x14ac:dyDescent="0.25">
      <c r="B5" t="s">
        <v>16</v>
      </c>
      <c r="C5" s="44">
        <f>'IS Projections'!H23-'IS Projections'!H21-'IS Projections'!H16</f>
        <v>15306.337359000005</v>
      </c>
      <c r="D5" s="44">
        <f>'IS Projections'!I23-'IS Projections'!I21-'IS Projections'!I16</f>
        <v>22661.44954975001</v>
      </c>
      <c r="E5" s="44">
        <f>'IS Projections'!J23-'IS Projections'!J21-'IS Projections'!J16</f>
        <v>20428.008980512503</v>
      </c>
      <c r="F5" s="44">
        <f>'IS Projections'!K23-'IS Projections'!K21-'IS Projections'!K16</f>
        <v>33677.719088760015</v>
      </c>
      <c r="G5" s="44">
        <f>'IS Projections'!L23-'IS Projections'!L21-'IS Projections'!L16</f>
        <v>41914.308158940607</v>
      </c>
    </row>
    <row r="6" spans="1:7" x14ac:dyDescent="0.25">
      <c r="B6" t="s">
        <v>147</v>
      </c>
      <c r="C6" s="44">
        <f>C5*C16</f>
        <v>3214.3308453900008</v>
      </c>
      <c r="D6" s="44">
        <f>D5*D16</f>
        <v>4758.9044054475016</v>
      </c>
      <c r="E6" s="44">
        <f>E5*E16</f>
        <v>4289.8818859076255</v>
      </c>
      <c r="F6" s="44">
        <f>F5*F16</f>
        <v>7072.321008639603</v>
      </c>
      <c r="G6" s="44">
        <f>G5*G16</f>
        <v>8802.0047133775279</v>
      </c>
    </row>
    <row r="7" spans="1:7" x14ac:dyDescent="0.25">
      <c r="B7" t="s">
        <v>124</v>
      </c>
      <c r="C7" s="60">
        <f>C5-C6</f>
        <v>12092.006513610004</v>
      </c>
      <c r="D7" s="60">
        <f t="shared" ref="D7:G7" si="0">D5-D6</f>
        <v>17902.545144302509</v>
      </c>
      <c r="E7" s="60">
        <f t="shared" si="0"/>
        <v>16138.127094604877</v>
      </c>
      <c r="F7" s="60">
        <f t="shared" si="0"/>
        <v>26605.398080120412</v>
      </c>
      <c r="G7" s="60">
        <f t="shared" si="0"/>
        <v>33112.303445563077</v>
      </c>
    </row>
    <row r="8" spans="1:7" x14ac:dyDescent="0.25">
      <c r="B8" t="s">
        <v>148</v>
      </c>
      <c r="C8" s="60">
        <f>C17*'Cash Flow'!H59</f>
        <v>13495.697771763496</v>
      </c>
      <c r="D8" s="60">
        <f>D17*'Cash Flow'!I59</f>
        <v>18522.579545711138</v>
      </c>
      <c r="E8" s="60">
        <f>E17*'Cash Flow'!J59</f>
        <v>22662.364536020959</v>
      </c>
      <c r="F8" s="60">
        <f>F17*'Cash Flow'!K59</f>
        <v>26112.185361279142</v>
      </c>
      <c r="G8" s="60">
        <f>G17*'Cash Flow'!L59</f>
        <v>29069.174640071869</v>
      </c>
    </row>
    <row r="9" spans="1:7" x14ac:dyDescent="0.25">
      <c r="B9" t="s">
        <v>149</v>
      </c>
      <c r="C9" s="60">
        <f>'Cash Flow'!H60*'IS Projections'!$H$6</f>
        <v>24351.983099999998</v>
      </c>
      <c r="D9" s="60">
        <f>'Cash Flow'!I60*'IS Projections'!$H$6</f>
        <v>26424.492299999998</v>
      </c>
      <c r="E9" s="60">
        <f>'Cash Flow'!J60*'IS Projections'!$H$6</f>
        <v>21761.346599999997</v>
      </c>
      <c r="F9" s="60">
        <f>'Cash Flow'!K60*'IS Projections'!$H$6</f>
        <v>18134.455499999996</v>
      </c>
      <c r="G9" s="60">
        <f>'Cash Flow'!L60*'IS Projections'!$H$6</f>
        <v>15543.818999999998</v>
      </c>
    </row>
    <row r="10" spans="1:7" ht="13.8" thickBot="1" x14ac:dyDescent="0.3">
      <c r="B10" s="61" t="s">
        <v>174</v>
      </c>
      <c r="C10" s="62">
        <f>'Balance Sheet'!H86-'Balance Sheet'!G86</f>
        <v>2660.7438834421519</v>
      </c>
      <c r="D10" s="62">
        <f>'Balance Sheet'!I86-'Balance Sheet'!H86</f>
        <v>3809.613562316179</v>
      </c>
      <c r="E10" s="62">
        <f>'Balance Sheet'!J86-'Balance Sheet'!I86</f>
        <v>3482.6226631362897</v>
      </c>
      <c r="F10" s="62">
        <f>'Balance Sheet'!K86-'Balance Sheet'!J86</f>
        <v>2655.7161678771754</v>
      </c>
      <c r="G10" s="62">
        <f>'Balance Sheet'!L86-'Balance Sheet'!K86</f>
        <v>1318.7345582377129</v>
      </c>
    </row>
    <row r="11" spans="1:7" x14ac:dyDescent="0.25">
      <c r="B11" s="63" t="s">
        <v>150</v>
      </c>
      <c r="C11" s="69">
        <f>C7+C8-C9-C10</f>
        <v>-1425.0226980686493</v>
      </c>
      <c r="D11" s="69">
        <f t="shared" ref="D11:G11" si="1">D7+D8-D9-D10</f>
        <v>6191.0188276974695</v>
      </c>
      <c r="E11" s="69">
        <f t="shared" si="1"/>
        <v>13556.522367489551</v>
      </c>
      <c r="F11" s="69">
        <f t="shared" si="1"/>
        <v>31927.411773522384</v>
      </c>
      <c r="G11" s="69">
        <f t="shared" si="1"/>
        <v>45318.924527397234</v>
      </c>
    </row>
    <row r="12" spans="1:7" x14ac:dyDescent="0.25">
      <c r="B12" s="34" t="s">
        <v>172</v>
      </c>
      <c r="C12" s="76">
        <f>1/(1+Valuation!$G$38)^Valuation!C1</f>
        <v>0.92146218486848841</v>
      </c>
      <c r="D12" s="76">
        <f>1/(1+Valuation!$G$38)^Valuation!D1</f>
        <v>0.8490925581426082</v>
      </c>
      <c r="E12" s="76">
        <f>1/(1+Valuation!$G$38)^Valuation!E1</f>
        <v>0.78240668378166178</v>
      </c>
      <c r="F12" s="76">
        <f>1/(1+Valuation!$G$38)^Valuation!F1</f>
        <v>0.72095817229315839</v>
      </c>
      <c r="G12" s="76">
        <f>1/(1+Valuation!$G$38)^Valuation!G1</f>
        <v>0.66433569264004588</v>
      </c>
    </row>
    <row r="13" spans="1:7" x14ac:dyDescent="0.25">
      <c r="B13" s="34" t="s">
        <v>171</v>
      </c>
      <c r="C13" s="69">
        <f>C11*C12</f>
        <v>-1313.1045288495259</v>
      </c>
      <c r="D13" s="69">
        <f t="shared" ref="D13:G13" si="2">D11*D12</f>
        <v>5256.7480139186955</v>
      </c>
      <c r="E13" s="69">
        <f t="shared" si="2"/>
        <v>10606.713709159423</v>
      </c>
      <c r="F13" s="69">
        <f t="shared" si="2"/>
        <v>23018.328438289765</v>
      </c>
      <c r="G13" s="69">
        <f t="shared" si="2"/>
        <v>30106.979115610404</v>
      </c>
    </row>
    <row r="14" spans="1:7" x14ac:dyDescent="0.25">
      <c r="B14" s="63" t="s">
        <v>173</v>
      </c>
      <c r="C14" s="77">
        <f>SUM(C13:G13)</f>
        <v>67675.664748128765</v>
      </c>
    </row>
    <row r="15" spans="1:7" x14ac:dyDescent="0.25">
      <c r="B15" s="63"/>
      <c r="C15" s="77"/>
    </row>
    <row r="16" spans="1:7" x14ac:dyDescent="0.25">
      <c r="B16" t="s">
        <v>144</v>
      </c>
      <c r="C16" s="36">
        <v>0.21</v>
      </c>
      <c r="D16" s="36">
        <v>0.21</v>
      </c>
      <c r="E16" s="36">
        <v>0.21</v>
      </c>
      <c r="F16" s="36">
        <v>0.21</v>
      </c>
      <c r="G16" s="36">
        <v>0.21</v>
      </c>
    </row>
    <row r="17" spans="2:8" x14ac:dyDescent="0.25">
      <c r="B17" t="s">
        <v>181</v>
      </c>
      <c r="C17" s="60">
        <f>'Balance Sheet'!G15+Valuation!C9</f>
        <v>70941.983099999998</v>
      </c>
      <c r="D17" s="69">
        <f>C17+D9</f>
        <v>97366.475399999996</v>
      </c>
      <c r="E17" s="69">
        <f>D17+E9</f>
        <v>119127.82199999999</v>
      </c>
      <c r="F17" s="69">
        <f>E17+F9</f>
        <v>137262.27749999997</v>
      </c>
      <c r="G17" s="69">
        <f>F17+G9</f>
        <v>152806.09649999996</v>
      </c>
    </row>
    <row r="18" spans="2:8" x14ac:dyDescent="0.25">
      <c r="B18" s="70" t="s">
        <v>182</v>
      </c>
    </row>
    <row r="19" spans="2:8" x14ac:dyDescent="0.25">
      <c r="B19" s="70"/>
    </row>
    <row r="20" spans="2:8" x14ac:dyDescent="0.25">
      <c r="B20" s="72" t="s">
        <v>215</v>
      </c>
      <c r="C20" s="72"/>
      <c r="D20" s="72"/>
      <c r="E20" s="72"/>
      <c r="F20" s="72"/>
      <c r="G20" s="72"/>
    </row>
    <row r="21" spans="2:8" x14ac:dyDescent="0.25">
      <c r="B21" t="s">
        <v>212</v>
      </c>
      <c r="G21" s="69">
        <f>G11</f>
        <v>45318.924527397234</v>
      </c>
    </row>
    <row r="22" spans="2:8" x14ac:dyDescent="0.25">
      <c r="B22" t="s">
        <v>213</v>
      </c>
      <c r="G22" s="36">
        <v>2.5000000000000001E-2</v>
      </c>
      <c r="H22" s="70"/>
    </row>
    <row r="23" spans="2:8" x14ac:dyDescent="0.25">
      <c r="B23" t="s">
        <v>293</v>
      </c>
      <c r="G23" s="69">
        <f>(G21*(1+G22))/(G38-G22)</f>
        <v>771219.72902976978</v>
      </c>
    </row>
    <row r="24" spans="2:8" x14ac:dyDescent="0.25">
      <c r="B24" t="s">
        <v>214</v>
      </c>
      <c r="G24" s="69">
        <f>G23*G12</f>
        <v>512348.7928626606</v>
      </c>
    </row>
    <row r="27" spans="2:8" x14ac:dyDescent="0.25">
      <c r="B27" t="s">
        <v>207</v>
      </c>
      <c r="G27" s="71">
        <f>C14</f>
        <v>67675.664748128765</v>
      </c>
    </row>
    <row r="28" spans="2:8" ht="15" x14ac:dyDescent="0.4">
      <c r="B28" t="s">
        <v>208</v>
      </c>
      <c r="G28" s="78">
        <f>G24</f>
        <v>512348.7928626606</v>
      </c>
    </row>
    <row r="29" spans="2:8" x14ac:dyDescent="0.25">
      <c r="B29" t="s">
        <v>209</v>
      </c>
      <c r="G29" s="71">
        <f>SUM(G27:G28)</f>
        <v>580024.45761078934</v>
      </c>
    </row>
    <row r="30" spans="2:8" ht="15" x14ac:dyDescent="0.4">
      <c r="B30" t="s">
        <v>69</v>
      </c>
      <c r="G30" s="78">
        <f>'Balance Sheet'!G6-Valuation!G47</f>
        <v>-5710</v>
      </c>
    </row>
    <row r="31" spans="2:8" x14ac:dyDescent="0.25">
      <c r="B31" t="s">
        <v>210</v>
      </c>
      <c r="G31" s="71">
        <f>G29-G30</f>
        <v>585734.45761078934</v>
      </c>
    </row>
    <row r="32" spans="2:8" x14ac:dyDescent="0.25">
      <c r="B32" t="s">
        <v>211</v>
      </c>
      <c r="G32" s="79">
        <f>G31/G60</f>
        <v>520.65285120959049</v>
      </c>
    </row>
    <row r="34" spans="2:8" s="1" customFormat="1" x14ac:dyDescent="0.25">
      <c r="B34" s="47" t="s">
        <v>183</v>
      </c>
      <c r="C34" s="47"/>
      <c r="D34" s="47"/>
      <c r="E34" s="47"/>
      <c r="F34" s="47"/>
      <c r="G34" s="47"/>
      <c r="H34"/>
    </row>
    <row r="35" spans="2:8" s="1" customFormat="1" x14ac:dyDescent="0.25">
      <c r="B35"/>
      <c r="C35"/>
      <c r="D35"/>
      <c r="E35" t="s">
        <v>186</v>
      </c>
      <c r="F35" t="s">
        <v>187</v>
      </c>
      <c r="G35" t="s">
        <v>188</v>
      </c>
      <c r="H35"/>
    </row>
    <row r="36" spans="2:8" s="1" customFormat="1" x14ac:dyDescent="0.25">
      <c r="B36" t="s">
        <v>184</v>
      </c>
      <c r="C36"/>
      <c r="D36"/>
      <c r="E36" s="71">
        <f>SUM('Balance Sheet'!G26,'Balance Sheet'!G33)</f>
        <v>11533</v>
      </c>
      <c r="F36" s="28">
        <f>E36/$E$38</f>
        <v>2.2350536961330839E-2</v>
      </c>
      <c r="G36" s="28">
        <f>G48</f>
        <v>4.0690866336633658E-2</v>
      </c>
      <c r="H36"/>
    </row>
    <row r="37" spans="2:8" x14ac:dyDescent="0.25">
      <c r="B37" t="s">
        <v>185</v>
      </c>
      <c r="E37" s="71">
        <f>G60*G61</f>
        <v>504472.5</v>
      </c>
      <c r="F37" s="28">
        <f>E37/$E$38</f>
        <v>0.97764946303866918</v>
      </c>
      <c r="G37" s="28">
        <f>G57</f>
        <v>8.6250000000000007E-2</v>
      </c>
    </row>
    <row r="38" spans="2:8" x14ac:dyDescent="0.25">
      <c r="B38" t="s">
        <v>189</v>
      </c>
      <c r="E38" s="71">
        <f>SUM(E36:E37)</f>
        <v>516005.5</v>
      </c>
      <c r="F38" s="28">
        <f>SUM(F36:F37)</f>
        <v>1</v>
      </c>
      <c r="G38" s="28">
        <f>F36*G36+F37*G37</f>
        <v>8.5231728899130735E-2</v>
      </c>
    </row>
    <row r="40" spans="2:8" x14ac:dyDescent="0.25">
      <c r="B40" s="72" t="s">
        <v>190</v>
      </c>
      <c r="C40" s="72"/>
      <c r="D40" s="72"/>
      <c r="E40" s="72"/>
      <c r="F40" s="72"/>
      <c r="G40" s="72"/>
    </row>
    <row r="41" spans="2:8" x14ac:dyDescent="0.25">
      <c r="B41" t="s">
        <v>191</v>
      </c>
      <c r="G41" s="71">
        <f>E36</f>
        <v>11533</v>
      </c>
    </row>
    <row r="42" spans="2:8" x14ac:dyDescent="0.25">
      <c r="B42" t="s">
        <v>190</v>
      </c>
      <c r="G42" s="36">
        <v>5.2999999999999999E-2</v>
      </c>
      <c r="H42" s="70"/>
    </row>
    <row r="43" spans="2:8" x14ac:dyDescent="0.25">
      <c r="B43" t="s">
        <v>192</v>
      </c>
      <c r="G43" s="74">
        <f>G42*(1-G49)</f>
        <v>4.1869999999999997E-2</v>
      </c>
    </row>
    <row r="44" spans="2:8" x14ac:dyDescent="0.25">
      <c r="B44" t="s">
        <v>193</v>
      </c>
      <c r="G44" s="71">
        <f>'Balance Sheet'!G27+'Balance Sheet'!G34</f>
        <v>3819</v>
      </c>
    </row>
    <row r="45" spans="2:8" x14ac:dyDescent="0.25">
      <c r="B45" t="s">
        <v>194</v>
      </c>
      <c r="G45" s="75">
        <v>4.7E-2</v>
      </c>
      <c r="H45" s="70"/>
    </row>
    <row r="46" spans="2:8" x14ac:dyDescent="0.25">
      <c r="B46" t="s">
        <v>195</v>
      </c>
      <c r="G46" s="74">
        <f>G45*(1-G49)</f>
        <v>3.7130000000000003E-2</v>
      </c>
    </row>
    <row r="47" spans="2:8" x14ac:dyDescent="0.25">
      <c r="B47" t="s">
        <v>196</v>
      </c>
      <c r="G47" s="71">
        <f>G41+G44</f>
        <v>15352</v>
      </c>
    </row>
    <row r="48" spans="2:8" x14ac:dyDescent="0.25">
      <c r="B48" t="s">
        <v>197</v>
      </c>
      <c r="G48" s="45">
        <f>((G41/G47)*G43)+((G44/G47)*G46)</f>
        <v>4.0690866336633658E-2</v>
      </c>
    </row>
    <row r="49" spans="2:8" x14ac:dyDescent="0.25">
      <c r="B49" t="s">
        <v>144</v>
      </c>
      <c r="G49" s="73">
        <v>0.21</v>
      </c>
    </row>
    <row r="50" spans="2:8" x14ac:dyDescent="0.25">
      <c r="G50" s="73"/>
    </row>
    <row r="51" spans="2:8" x14ac:dyDescent="0.25">
      <c r="B51" s="72" t="s">
        <v>198</v>
      </c>
      <c r="C51" s="72"/>
      <c r="D51" s="72"/>
      <c r="E51" s="72"/>
      <c r="F51" s="72"/>
      <c r="G51" s="72"/>
    </row>
    <row r="52" spans="2:8" x14ac:dyDescent="0.25">
      <c r="B52" t="s">
        <v>199</v>
      </c>
      <c r="G52" s="71">
        <f>G60*G61</f>
        <v>504472.5</v>
      </c>
    </row>
    <row r="53" spans="2:8" x14ac:dyDescent="0.25">
      <c r="B53" t="s">
        <v>200</v>
      </c>
      <c r="G53" s="36">
        <v>4.2000000000000003E-2</v>
      </c>
      <c r="H53" s="70"/>
    </row>
    <row r="54" spans="2:8" x14ac:dyDescent="0.25">
      <c r="B54" t="s">
        <v>201</v>
      </c>
      <c r="G54" s="36">
        <v>6.7000000000000004E-2</v>
      </c>
      <c r="H54" s="70"/>
    </row>
    <row r="55" spans="2:8" x14ac:dyDescent="0.25">
      <c r="B55" t="s">
        <v>202</v>
      </c>
      <c r="G55" s="45">
        <f>G54-G53</f>
        <v>2.5000000000000001E-2</v>
      </c>
    </row>
    <row r="56" spans="2:8" x14ac:dyDescent="0.25">
      <c r="B56" t="s">
        <v>203</v>
      </c>
      <c r="G56" s="70">
        <v>1.77</v>
      </c>
      <c r="H56" s="70"/>
    </row>
    <row r="57" spans="2:8" x14ac:dyDescent="0.25">
      <c r="B57" t="s">
        <v>204</v>
      </c>
      <c r="G57" s="45">
        <f>G53+G55*G56</f>
        <v>8.6250000000000007E-2</v>
      </c>
    </row>
    <row r="60" spans="2:8" x14ac:dyDescent="0.25">
      <c r="B60" t="s">
        <v>205</v>
      </c>
      <c r="G60">
        <v>1125</v>
      </c>
    </row>
    <row r="61" spans="2:8" x14ac:dyDescent="0.25">
      <c r="B61" t="s">
        <v>206</v>
      </c>
      <c r="G61" s="124">
        <v>448.42</v>
      </c>
    </row>
  </sheetData>
  <pageMargins left="0.2" right="0.2" top="0.5" bottom="0.5" header="0.5" footer="0.5"/>
  <pageSetup fitToWidth="0" fitToHeight="0" orientation="landscape" horizontalDpi="0" verticalDpi="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90A0C-9EB1-4F78-AFE1-83F81E8992F1}">
  <dimension ref="A1:J87"/>
  <sheetViews>
    <sheetView zoomScaleNormal="100" workbookViewId="0"/>
  </sheetViews>
  <sheetFormatPr defaultColWidth="8.6640625" defaultRowHeight="14.4" x14ac:dyDescent="0.3"/>
  <cols>
    <col min="1" max="1" width="8.6640625" style="80"/>
    <col min="2" max="2" width="50.44140625" style="80" customWidth="1"/>
    <col min="3" max="4" width="11" style="80" customWidth="1"/>
    <col min="5" max="5" width="13" style="80" customWidth="1"/>
    <col min="6" max="6" width="12" style="80" customWidth="1"/>
    <col min="7" max="7" width="14" style="80" customWidth="1"/>
    <col min="8" max="8" width="10" style="80" customWidth="1"/>
    <col min="9" max="10" width="12" style="80" customWidth="1"/>
    <col min="11" max="16384" width="8.6640625" style="80"/>
  </cols>
  <sheetData>
    <row r="1" spans="1:10" x14ac:dyDescent="0.3">
      <c r="A1" s="116" t="s">
        <v>290</v>
      </c>
      <c r="B1" s="82"/>
      <c r="C1" s="82"/>
      <c r="D1" s="82"/>
      <c r="E1" s="82"/>
      <c r="F1" s="82"/>
      <c r="G1" s="82"/>
      <c r="H1" s="82"/>
      <c r="I1" s="82"/>
      <c r="J1" s="82"/>
    </row>
    <row r="2" spans="1:10" x14ac:dyDescent="0.3">
      <c r="A2" s="117" t="s">
        <v>291</v>
      </c>
      <c r="B2" s="82"/>
      <c r="C2" s="82"/>
      <c r="D2" s="82"/>
      <c r="E2" s="82"/>
      <c r="F2" s="82"/>
      <c r="G2" s="82"/>
      <c r="H2" s="82"/>
      <c r="I2" s="82"/>
      <c r="J2" s="82"/>
    </row>
    <row r="3" spans="1:10" ht="13.5" customHeight="1" x14ac:dyDescent="0.3">
      <c r="A3" s="82"/>
      <c r="B3" s="83" t="s">
        <v>287</v>
      </c>
      <c r="C3" s="83"/>
      <c r="D3" s="83"/>
      <c r="E3" s="83"/>
      <c r="F3" s="83"/>
      <c r="G3" s="83"/>
      <c r="H3" s="83"/>
      <c r="I3" s="83"/>
      <c r="J3" s="83"/>
    </row>
    <row r="4" spans="1:10" ht="13.5" customHeight="1" x14ac:dyDescent="0.3">
      <c r="A4" s="82"/>
      <c r="B4" s="22" t="s">
        <v>258</v>
      </c>
      <c r="C4" s="23" t="s">
        <v>261</v>
      </c>
      <c r="D4" s="23" t="s">
        <v>262</v>
      </c>
      <c r="E4" s="23" t="s">
        <v>263</v>
      </c>
      <c r="F4" s="23"/>
      <c r="G4" s="23"/>
      <c r="H4" s="22"/>
      <c r="I4" s="23"/>
      <c r="J4" s="23" t="s">
        <v>264</v>
      </c>
    </row>
    <row r="5" spans="1:10" ht="31.8" x14ac:dyDescent="0.3">
      <c r="A5" s="82"/>
      <c r="B5" s="47" t="s">
        <v>259</v>
      </c>
      <c r="C5" s="114" t="s">
        <v>216</v>
      </c>
      <c r="D5" s="114" t="s">
        <v>217</v>
      </c>
      <c r="E5" s="114" t="s">
        <v>218</v>
      </c>
      <c r="F5" s="114"/>
      <c r="G5" s="114" t="s">
        <v>219</v>
      </c>
      <c r="H5" s="114" t="s">
        <v>220</v>
      </c>
      <c r="I5" s="114"/>
      <c r="J5" s="114" t="s">
        <v>260</v>
      </c>
    </row>
    <row r="6" spans="1:10" x14ac:dyDescent="0.3">
      <c r="A6" s="82"/>
      <c r="B6"/>
      <c r="C6"/>
      <c r="D6"/>
      <c r="E6"/>
      <c r="F6"/>
      <c r="G6"/>
      <c r="H6"/>
      <c r="I6"/>
      <c r="J6"/>
    </row>
    <row r="7" spans="1:10" x14ac:dyDescent="0.3">
      <c r="A7" s="82"/>
      <c r="B7" s="72" t="s">
        <v>252</v>
      </c>
      <c r="C7" s="72"/>
      <c r="D7" s="72"/>
      <c r="E7" s="72"/>
      <c r="F7" s="72"/>
      <c r="G7" s="72"/>
      <c r="H7" s="72"/>
      <c r="I7" s="72"/>
      <c r="J7" s="72"/>
    </row>
    <row r="8" spans="1:10" x14ac:dyDescent="0.3">
      <c r="A8" s="82"/>
      <c r="B8" s="84" t="s">
        <v>279</v>
      </c>
      <c r="C8" s="118">
        <v>374.11</v>
      </c>
      <c r="D8" s="118">
        <v>391.62</v>
      </c>
      <c r="E8" s="118">
        <v>65.7</v>
      </c>
      <c r="F8" s="118"/>
      <c r="G8" s="118"/>
      <c r="H8" s="118"/>
      <c r="I8" s="118"/>
      <c r="J8" s="118">
        <v>448.42</v>
      </c>
    </row>
    <row r="9" spans="1:10" ht="13.5" customHeight="1" thickBot="1" x14ac:dyDescent="0.35">
      <c r="A9" s="82"/>
      <c r="B9" s="125" t="s">
        <v>282</v>
      </c>
      <c r="C9" s="126">
        <v>345</v>
      </c>
      <c r="D9" s="126">
        <v>793</v>
      </c>
      <c r="E9" s="126">
        <v>4994</v>
      </c>
      <c r="F9" s="127"/>
      <c r="G9" s="127"/>
      <c r="H9" s="127"/>
      <c r="I9" s="127"/>
      <c r="J9" s="126">
        <v>1122</v>
      </c>
    </row>
    <row r="10" spans="1:10" ht="12.75" customHeight="1" x14ac:dyDescent="0.3">
      <c r="A10" s="82"/>
      <c r="B10" s="85" t="s">
        <v>283</v>
      </c>
      <c r="C10" s="86">
        <f>C8*C9</f>
        <v>129067.95000000001</v>
      </c>
      <c r="D10" s="86">
        <f>D8*D9</f>
        <v>310554.66000000003</v>
      </c>
      <c r="E10" s="86">
        <f>E8*E9</f>
        <v>328105.8</v>
      </c>
      <c r="F10" s="82"/>
      <c r="G10" s="82"/>
      <c r="H10" s="82"/>
      <c r="I10" s="82"/>
      <c r="J10" s="86">
        <f>J8*J9</f>
        <v>503127.24</v>
      </c>
    </row>
    <row r="11" spans="1:10" ht="12.75" customHeight="1" x14ac:dyDescent="0.3">
      <c r="A11" s="82"/>
      <c r="B11" s="85"/>
      <c r="C11" s="86"/>
      <c r="D11" s="86"/>
      <c r="E11" s="86"/>
      <c r="F11" s="82"/>
      <c r="G11" s="82"/>
      <c r="H11" s="82"/>
      <c r="I11" s="82"/>
      <c r="J11" s="86"/>
    </row>
    <row r="12" spans="1:10" x14ac:dyDescent="0.3">
      <c r="A12" s="82"/>
      <c r="B12" s="72" t="s">
        <v>253</v>
      </c>
      <c r="C12" s="72"/>
      <c r="D12" s="72"/>
      <c r="E12" s="72"/>
      <c r="F12" s="72"/>
      <c r="G12" s="72"/>
      <c r="H12" s="72"/>
      <c r="I12" s="72"/>
      <c r="J12" s="72"/>
    </row>
    <row r="13" spans="1:10" x14ac:dyDescent="0.3">
      <c r="A13" s="82"/>
      <c r="B13" s="84" t="s">
        <v>221</v>
      </c>
      <c r="C13" s="119">
        <v>4711</v>
      </c>
      <c r="D13" s="119">
        <v>6555</v>
      </c>
      <c r="E13" s="119">
        <v>46585</v>
      </c>
      <c r="F13" s="120"/>
      <c r="G13" s="120"/>
      <c r="H13" s="120"/>
      <c r="I13" s="120"/>
      <c r="J13" s="119">
        <v>11533</v>
      </c>
    </row>
    <row r="14" spans="1:10" ht="12.75" customHeight="1" x14ac:dyDescent="0.3">
      <c r="A14" s="82"/>
      <c r="B14" s="84" t="s">
        <v>222</v>
      </c>
      <c r="C14" s="119">
        <v>141</v>
      </c>
      <c r="D14" s="119">
        <v>495</v>
      </c>
      <c r="E14" s="119">
        <v>524</v>
      </c>
      <c r="F14" s="120"/>
      <c r="G14" s="120"/>
      <c r="H14" s="120"/>
      <c r="I14" s="120"/>
      <c r="J14" s="119">
        <v>3819</v>
      </c>
    </row>
    <row r="15" spans="1:10" ht="15" thickBot="1" x14ac:dyDescent="0.35">
      <c r="A15" s="82"/>
      <c r="B15" s="125" t="s">
        <v>223</v>
      </c>
      <c r="C15" s="126">
        <v>2114</v>
      </c>
      <c r="D15" s="126">
        <v>7241</v>
      </c>
      <c r="E15" s="126">
        <v>14265</v>
      </c>
      <c r="F15" s="127"/>
      <c r="G15" s="127"/>
      <c r="H15" s="127"/>
      <c r="I15" s="127"/>
      <c r="J15" s="126">
        <v>9642</v>
      </c>
    </row>
    <row r="16" spans="1:10" ht="13.5" customHeight="1" x14ac:dyDescent="0.3">
      <c r="A16" s="82"/>
      <c r="B16" s="85" t="s">
        <v>280</v>
      </c>
      <c r="C16" s="86">
        <f>C13+C14-C15</f>
        <v>2738</v>
      </c>
      <c r="D16" s="86">
        <f>D13+D14-D15</f>
        <v>-191</v>
      </c>
      <c r="E16" s="86">
        <f>E13+E14-E15</f>
        <v>32844</v>
      </c>
      <c r="F16" s="82"/>
      <c r="G16" s="82"/>
      <c r="H16" s="82"/>
      <c r="I16" s="82"/>
      <c r="J16" s="86">
        <f>J13+J14-J15</f>
        <v>5710</v>
      </c>
    </row>
    <row r="17" spans="1:10" x14ac:dyDescent="0.3">
      <c r="A17" s="82"/>
      <c r="B17" s="85" t="s">
        <v>281</v>
      </c>
      <c r="C17" s="86">
        <f>C10+C13+C14-C15</f>
        <v>131805.95000000001</v>
      </c>
      <c r="D17" s="86">
        <f>D10+D13+D14-D15</f>
        <v>310363.66000000003</v>
      </c>
      <c r="E17" s="86">
        <f>E10+E13+E14-E15</f>
        <v>360949.8</v>
      </c>
      <c r="F17" s="82"/>
      <c r="G17" s="82"/>
      <c r="H17" s="82"/>
      <c r="I17" s="82"/>
      <c r="J17" s="86">
        <f>J10+J13+J14-J15</f>
        <v>508837.24</v>
      </c>
    </row>
    <row r="18" spans="1:10" ht="12.75" customHeight="1" x14ac:dyDescent="0.3">
      <c r="A18" s="82"/>
      <c r="B18" s="82"/>
      <c r="C18" s="82"/>
      <c r="D18" s="82"/>
      <c r="E18" s="82"/>
      <c r="F18" s="82"/>
      <c r="G18" s="82"/>
      <c r="H18" s="82"/>
      <c r="I18" s="82"/>
      <c r="J18" s="82"/>
    </row>
    <row r="19" spans="1:10" ht="12.75" customHeight="1" x14ac:dyDescent="0.3">
      <c r="A19" s="82"/>
      <c r="B19" s="72" t="s">
        <v>254</v>
      </c>
      <c r="C19" s="72"/>
      <c r="D19" s="72"/>
      <c r="E19" s="72"/>
      <c r="F19" s="72"/>
      <c r="G19" s="72"/>
      <c r="H19" s="72"/>
      <c r="I19" s="72"/>
      <c r="J19" s="72"/>
    </row>
    <row r="20" spans="1:10" x14ac:dyDescent="0.3">
      <c r="A20" s="82"/>
      <c r="B20" s="84" t="s">
        <v>224</v>
      </c>
      <c r="C20" s="119">
        <v>9520</v>
      </c>
      <c r="D20" s="119">
        <v>28368</v>
      </c>
      <c r="E20" s="119">
        <v>52853</v>
      </c>
      <c r="F20" s="120"/>
      <c r="G20" s="120"/>
      <c r="H20" s="120"/>
      <c r="I20" s="120"/>
      <c r="J20" s="119">
        <v>37378</v>
      </c>
    </row>
    <row r="21" spans="1:10" x14ac:dyDescent="0.3">
      <c r="A21" s="82"/>
      <c r="B21" s="84" t="s">
        <v>225</v>
      </c>
      <c r="C21" s="119">
        <v>13003</v>
      </c>
      <c r="D21" s="119">
        <v>27176</v>
      </c>
      <c r="E21" s="119">
        <v>53101</v>
      </c>
      <c r="F21" s="120"/>
      <c r="G21" s="120"/>
      <c r="H21" s="120"/>
      <c r="I21" s="120"/>
      <c r="J21" s="119">
        <v>25111</v>
      </c>
    </row>
    <row r="22" spans="1:10" x14ac:dyDescent="0.3">
      <c r="A22" s="82"/>
      <c r="B22" s="84" t="s">
        <v>226</v>
      </c>
      <c r="C22" s="88">
        <f>(C20-C21)/C21</f>
        <v>-0.26786126278551103</v>
      </c>
      <c r="D22" s="88">
        <f>(D20-D21)/D21</f>
        <v>4.3862231380629967E-2</v>
      </c>
      <c r="E22" s="88">
        <f>(E20-E21)/E21</f>
        <v>-4.6703451912393362E-3</v>
      </c>
      <c r="F22" s="82"/>
      <c r="G22" s="88">
        <f>AVERAGE(C22:E22)</f>
        <v>-7.6223125532040137E-2</v>
      </c>
      <c r="H22" s="88">
        <f>MEDIAN(C22:E22)</f>
        <v>-4.6703451912393362E-3</v>
      </c>
      <c r="I22" s="82"/>
      <c r="J22" s="88">
        <f>(J20-J21)/J21</f>
        <v>0.48851101111066864</v>
      </c>
    </row>
    <row r="23" spans="1:10" x14ac:dyDescent="0.3">
      <c r="A23" s="82"/>
      <c r="B23" s="84"/>
      <c r="C23" s="82"/>
      <c r="D23" s="82"/>
      <c r="E23" s="82"/>
      <c r="F23" s="82"/>
      <c r="G23" s="82"/>
      <c r="H23" s="82"/>
      <c r="I23" s="82"/>
      <c r="J23" s="82"/>
    </row>
    <row r="24" spans="1:10" x14ac:dyDescent="0.3">
      <c r="A24" s="82"/>
      <c r="B24" s="84" t="s">
        <v>227</v>
      </c>
      <c r="C24" s="119">
        <v>2473</v>
      </c>
      <c r="D24" s="119">
        <v>8946</v>
      </c>
      <c r="E24" s="119">
        <v>12633</v>
      </c>
      <c r="F24" s="120"/>
      <c r="G24" s="120"/>
      <c r="H24" s="120"/>
      <c r="I24" s="120"/>
      <c r="J24" s="119">
        <v>18090</v>
      </c>
    </row>
    <row r="25" spans="1:10" ht="13.5" customHeight="1" x14ac:dyDescent="0.3">
      <c r="A25" s="82"/>
      <c r="B25" s="84" t="s">
        <v>228</v>
      </c>
      <c r="C25" s="119">
        <v>2137</v>
      </c>
      <c r="D25" s="119">
        <v>8511</v>
      </c>
      <c r="E25" s="119">
        <v>927</v>
      </c>
      <c r="F25" s="120"/>
      <c r="G25" s="120"/>
      <c r="H25" s="120"/>
      <c r="I25" s="120"/>
      <c r="J25" s="119">
        <v>9809</v>
      </c>
    </row>
    <row r="26" spans="1:10" ht="12.75" customHeight="1" x14ac:dyDescent="0.3">
      <c r="A26" s="82"/>
      <c r="B26" s="84" t="s">
        <v>229</v>
      </c>
      <c r="C26" s="119">
        <v>2506</v>
      </c>
      <c r="D26" s="119">
        <v>9066</v>
      </c>
      <c r="E26" s="119">
        <v>12845</v>
      </c>
      <c r="F26" s="120"/>
      <c r="G26" s="120"/>
      <c r="H26" s="120"/>
      <c r="I26" s="120"/>
      <c r="J26" s="119">
        <v>18243</v>
      </c>
    </row>
    <row r="27" spans="1:10" ht="12.75" customHeight="1" x14ac:dyDescent="0.3">
      <c r="A27" s="82"/>
      <c r="B27" s="84" t="s">
        <v>230</v>
      </c>
      <c r="C27" s="88">
        <f>C24/C20</f>
        <v>0.25976890756302523</v>
      </c>
      <c r="D27" s="88">
        <f>D24/D20</f>
        <v>0.31535532994923859</v>
      </c>
      <c r="E27" s="88">
        <f>E24/E20</f>
        <v>0.23902143681531796</v>
      </c>
      <c r="F27" s="82"/>
      <c r="G27" s="88">
        <f>AVERAGE(C27:E27)</f>
        <v>0.27138189144252728</v>
      </c>
      <c r="H27" s="88">
        <f>MEDIAN(C27:E27)</f>
        <v>0.25976890756302523</v>
      </c>
      <c r="I27" s="82"/>
      <c r="J27" s="88">
        <f>J24/J20</f>
        <v>0.48397453047247041</v>
      </c>
    </row>
    <row r="28" spans="1:10" ht="12.75" customHeight="1" x14ac:dyDescent="0.3">
      <c r="A28" s="82"/>
      <c r="B28" s="84"/>
      <c r="C28" s="82"/>
      <c r="D28" s="82"/>
      <c r="E28" s="82"/>
      <c r="F28" s="82"/>
      <c r="G28" s="82"/>
      <c r="H28" s="82"/>
      <c r="I28" s="82"/>
      <c r="J28" s="82"/>
    </row>
    <row r="29" spans="1:10" x14ac:dyDescent="0.3">
      <c r="A29" s="82"/>
      <c r="B29" s="84" t="s">
        <v>231</v>
      </c>
      <c r="C29" s="119">
        <v>1889</v>
      </c>
      <c r="D29" s="119">
        <v>6998</v>
      </c>
      <c r="E29" s="119">
        <v>26</v>
      </c>
      <c r="F29" s="120"/>
      <c r="G29" s="120"/>
      <c r="H29" s="120"/>
      <c r="I29" s="120"/>
      <c r="J29" s="119">
        <v>8539</v>
      </c>
    </row>
    <row r="30" spans="1:10" x14ac:dyDescent="0.3">
      <c r="A30" s="82"/>
      <c r="B30" s="84" t="s">
        <v>232</v>
      </c>
      <c r="C30" s="88">
        <f>C29/C20</f>
        <v>0.19842436974789915</v>
      </c>
      <c r="D30" s="88">
        <f>D29/D20</f>
        <v>0.24668640721940213</v>
      </c>
      <c r="E30" s="88">
        <f>E29/E20</f>
        <v>4.9193044860272833E-4</v>
      </c>
      <c r="F30" s="82"/>
      <c r="G30" s="88">
        <f>AVERAGE(C30,D30)</f>
        <v>0.22255538848365064</v>
      </c>
      <c r="H30" s="88">
        <f>MEDIAN(C30,D30)</f>
        <v>0.22255538848365064</v>
      </c>
      <c r="I30" s="82"/>
      <c r="J30" s="88">
        <f>J29/J20</f>
        <v>0.22844989030980792</v>
      </c>
    </row>
    <row r="31" spans="1:10" ht="12.75" customHeight="1" x14ac:dyDescent="0.3">
      <c r="A31" s="82"/>
      <c r="B31" s="87"/>
      <c r="C31" s="87"/>
      <c r="D31" s="87"/>
      <c r="E31" s="87"/>
      <c r="F31" s="87"/>
      <c r="G31" s="87"/>
      <c r="H31" s="87"/>
      <c r="I31" s="87"/>
      <c r="J31" s="87"/>
    </row>
    <row r="32" spans="1:10" x14ac:dyDescent="0.3">
      <c r="A32" s="82"/>
      <c r="B32" s="84" t="s">
        <v>233</v>
      </c>
      <c r="C32" s="121">
        <v>5.14</v>
      </c>
      <c r="D32" s="121">
        <v>8.66</v>
      </c>
      <c r="E32" s="121">
        <v>6.0000000000000001E-3</v>
      </c>
      <c r="F32" s="120"/>
      <c r="G32" s="120"/>
      <c r="H32" s="120"/>
      <c r="I32" s="120"/>
      <c r="J32" s="121">
        <v>7.59</v>
      </c>
    </row>
    <row r="33" spans="1:10" ht="12.75" customHeight="1" x14ac:dyDescent="0.3">
      <c r="A33" s="82"/>
      <c r="B33" s="82"/>
      <c r="C33" s="82"/>
      <c r="D33" s="82"/>
      <c r="E33" s="82"/>
      <c r="F33" s="82"/>
      <c r="G33" s="82"/>
      <c r="H33" s="82"/>
      <c r="I33" s="82"/>
      <c r="J33" s="82"/>
    </row>
    <row r="34" spans="1:10" x14ac:dyDescent="0.3">
      <c r="A34" s="82"/>
      <c r="B34" s="72" t="s">
        <v>255</v>
      </c>
      <c r="C34" s="72"/>
      <c r="D34" s="72"/>
      <c r="E34" s="72"/>
      <c r="F34" s="72"/>
      <c r="G34" s="72"/>
      <c r="H34" s="72"/>
      <c r="I34" s="72"/>
      <c r="J34" s="72"/>
    </row>
    <row r="35" spans="1:10" ht="12.75" customHeight="1" x14ac:dyDescent="0.3">
      <c r="A35" s="82"/>
      <c r="B35" s="84" t="s">
        <v>234</v>
      </c>
      <c r="C35" s="119">
        <v>14002</v>
      </c>
      <c r="D35" s="119">
        <v>36299</v>
      </c>
      <c r="E35" s="119">
        <v>211429</v>
      </c>
      <c r="F35" s="120"/>
      <c r="G35" s="120"/>
      <c r="H35" s="120"/>
      <c r="I35" s="120"/>
      <c r="J35" s="119">
        <v>82798</v>
      </c>
    </row>
    <row r="36" spans="1:10" ht="12.75" customHeight="1" x14ac:dyDescent="0.3">
      <c r="A36" s="82"/>
      <c r="B36" s="84" t="s">
        <v>284</v>
      </c>
      <c r="C36" s="119">
        <v>10818</v>
      </c>
      <c r="D36" s="119">
        <v>19001</v>
      </c>
      <c r="E36" s="119">
        <v>99270</v>
      </c>
      <c r="F36" s="120"/>
      <c r="G36" s="120"/>
      <c r="H36" s="120"/>
      <c r="I36" s="120"/>
      <c r="J36" s="119">
        <v>45131</v>
      </c>
    </row>
    <row r="37" spans="1:10" ht="12.75" customHeight="1" x14ac:dyDescent="0.3">
      <c r="A37" s="82"/>
      <c r="B37" s="84" t="s">
        <v>278</v>
      </c>
      <c r="C37" s="121">
        <v>15.39</v>
      </c>
      <c r="D37" s="121">
        <v>25.74</v>
      </c>
      <c r="E37" s="121">
        <v>22.88</v>
      </c>
      <c r="F37" s="120"/>
      <c r="G37" s="120"/>
      <c r="H37" s="120"/>
      <c r="I37" s="120"/>
      <c r="J37" s="121">
        <v>48.28</v>
      </c>
    </row>
    <row r="38" spans="1:10" x14ac:dyDescent="0.3">
      <c r="A38" s="82"/>
      <c r="B38" s="82"/>
      <c r="C38" s="82"/>
      <c r="D38" s="82"/>
      <c r="E38" s="82"/>
      <c r="F38" s="82"/>
      <c r="G38" s="82"/>
      <c r="H38" s="82"/>
      <c r="I38" s="82"/>
      <c r="J38" s="82"/>
    </row>
    <row r="39" spans="1:10" ht="13.5" customHeight="1" x14ac:dyDescent="0.3">
      <c r="A39" s="82"/>
      <c r="B39" s="72" t="s">
        <v>277</v>
      </c>
      <c r="C39" s="72"/>
      <c r="D39" s="72"/>
      <c r="E39" s="72"/>
      <c r="F39" s="72"/>
      <c r="G39" s="72"/>
      <c r="H39" s="72"/>
      <c r="I39" s="72"/>
      <c r="J39" s="72"/>
    </row>
    <row r="40" spans="1:10" ht="12.75" customHeight="1" x14ac:dyDescent="0.3">
      <c r="A40" s="82"/>
      <c r="B40" s="84" t="s">
        <v>235</v>
      </c>
      <c r="C40" s="89">
        <f>C17/C20</f>
        <v>13.845162815126052</v>
      </c>
      <c r="D40" s="89">
        <f>D17/D20</f>
        <v>10.940625352509871</v>
      </c>
      <c r="E40" s="89">
        <f>E17/E20</f>
        <v>6.8293152706563482</v>
      </c>
      <c r="F40" s="82"/>
      <c r="G40" s="89">
        <f>AVERAGE(C40:E40)</f>
        <v>10.53836781276409</v>
      </c>
      <c r="H40" s="89">
        <f>MEDIAN(C40:E40)</f>
        <v>10.940625352509871</v>
      </c>
      <c r="I40" s="82"/>
      <c r="J40" s="89">
        <f>J17/J20</f>
        <v>13.613281609502916</v>
      </c>
    </row>
    <row r="41" spans="1:10" x14ac:dyDescent="0.3">
      <c r="A41" s="82"/>
      <c r="B41" s="84" t="s">
        <v>236</v>
      </c>
      <c r="C41" s="89">
        <f>C17/C24</f>
        <v>53.29799838253134</v>
      </c>
      <c r="D41" s="89">
        <f>D17/D24</f>
        <v>34.693009166107764</v>
      </c>
      <c r="E41" s="89">
        <f>E17/E24</f>
        <v>28.571978152457849</v>
      </c>
      <c r="F41" s="82"/>
      <c r="G41" s="89">
        <f>AVERAGE(C41:E41)</f>
        <v>38.854328567032319</v>
      </c>
      <c r="H41" s="89">
        <f>MEDIAN(C41:E41)</f>
        <v>34.693009166107764</v>
      </c>
      <c r="I41" s="82"/>
      <c r="J41" s="89">
        <f>J17/J24</f>
        <v>28.128095080154782</v>
      </c>
    </row>
    <row r="42" spans="1:10" x14ac:dyDescent="0.3">
      <c r="A42" s="82"/>
      <c r="B42" s="84" t="s">
        <v>237</v>
      </c>
      <c r="C42" s="89">
        <f>C17/C25</f>
        <v>61.678029948525975</v>
      </c>
      <c r="D42" s="89">
        <f>D17/D25</f>
        <v>36.46618023733992</v>
      </c>
      <c r="E42" s="89">
        <f>E17/E25</f>
        <v>389.37411003236247</v>
      </c>
      <c r="F42" s="82"/>
      <c r="G42" s="89">
        <f>AVERAGE(C42:E42)</f>
        <v>162.50610673940946</v>
      </c>
      <c r="H42" s="89">
        <f>MEDIAN(C42:E42)</f>
        <v>61.678029948525975</v>
      </c>
      <c r="I42" s="82"/>
      <c r="J42" s="89">
        <f>J17/J25</f>
        <v>51.874527474768072</v>
      </c>
    </row>
    <row r="43" spans="1:10" x14ac:dyDescent="0.3">
      <c r="A43" s="82"/>
      <c r="B43" s="84" t="s">
        <v>238</v>
      </c>
      <c r="C43" s="89">
        <f>C17/C26</f>
        <v>52.596149241819639</v>
      </c>
      <c r="D43" s="89">
        <f>D17/D26</f>
        <v>34.233803220825067</v>
      </c>
      <c r="E43" s="89">
        <f>E17/E26</f>
        <v>28.100412611911249</v>
      </c>
      <c r="F43" s="82"/>
      <c r="G43" s="89">
        <f>AVERAGE(C43:E43)</f>
        <v>38.310121691518653</v>
      </c>
      <c r="H43" s="89">
        <f>MEDIAN(C43:E43)</f>
        <v>34.233803220825067</v>
      </c>
      <c r="I43" s="82"/>
      <c r="J43" s="89">
        <f>J17/J26</f>
        <v>27.892190977361178</v>
      </c>
    </row>
    <row r="44" spans="1:10" x14ac:dyDescent="0.3">
      <c r="A44" s="82"/>
      <c r="B44" s="82"/>
      <c r="C44" s="82"/>
      <c r="D44" s="82"/>
      <c r="E44" s="82"/>
      <c r="F44" s="82"/>
      <c r="G44" s="82"/>
      <c r="H44" s="82"/>
      <c r="I44" s="82"/>
      <c r="J44" s="82"/>
    </row>
    <row r="45" spans="1:10" x14ac:dyDescent="0.3">
      <c r="A45" s="82"/>
      <c r="B45" s="72" t="s">
        <v>276</v>
      </c>
      <c r="C45" s="72"/>
      <c r="D45" s="72"/>
      <c r="E45" s="72"/>
      <c r="F45" s="72"/>
      <c r="G45" s="72"/>
      <c r="H45" s="72"/>
      <c r="I45" s="72"/>
      <c r="J45" s="72"/>
    </row>
    <row r="46" spans="1:10" x14ac:dyDescent="0.3">
      <c r="A46" s="82"/>
      <c r="B46" s="84" t="s">
        <v>275</v>
      </c>
      <c r="C46" s="89">
        <f>C10/C29</f>
        <v>68.326071995764963</v>
      </c>
      <c r="D46" s="89">
        <f>D10/D29</f>
        <v>44.377630751643331</v>
      </c>
      <c r="E46" s="122" t="s">
        <v>239</v>
      </c>
      <c r="F46" s="82"/>
      <c r="G46" s="89">
        <f>AVERAGE(C46,D46)</f>
        <v>56.35185137370415</v>
      </c>
      <c r="H46" s="89">
        <f>MEDIAN(C46,D46)</f>
        <v>56.35185137370415</v>
      </c>
      <c r="I46" s="82"/>
      <c r="J46" s="89">
        <f>J10/J29</f>
        <v>58.92109614708982</v>
      </c>
    </row>
    <row r="47" spans="1:10" x14ac:dyDescent="0.3">
      <c r="A47" s="82"/>
      <c r="B47" s="84" t="s">
        <v>274</v>
      </c>
      <c r="C47" s="89">
        <f>C10/C36</f>
        <v>11.930851358846368</v>
      </c>
      <c r="D47" s="89">
        <f>D10/D36</f>
        <v>16.34412188832167</v>
      </c>
      <c r="E47" s="89">
        <f>E10/E36</f>
        <v>3.3051858567543064</v>
      </c>
      <c r="F47" s="82"/>
      <c r="G47" s="89">
        <f>AVERAGE(C47:E47)</f>
        <v>10.526719701307448</v>
      </c>
      <c r="H47" s="89">
        <f>MEDIAN(C47:E47)</f>
        <v>11.930851358846368</v>
      </c>
      <c r="I47" s="82"/>
      <c r="J47" s="89">
        <f>J10/J36</f>
        <v>11.14815182468813</v>
      </c>
    </row>
    <row r="48" spans="1:10" x14ac:dyDescent="0.3">
      <c r="A48" s="82"/>
      <c r="B48" s="84" t="s">
        <v>240</v>
      </c>
      <c r="C48" s="89">
        <f>C10/C20</f>
        <v>13.557557773109245</v>
      </c>
      <c r="D48" s="89">
        <f>D10/D20</f>
        <v>10.947358291032151</v>
      </c>
      <c r="E48" s="89">
        <f>E10/E20</f>
        <v>6.2078935916598867</v>
      </c>
      <c r="F48" s="82"/>
      <c r="G48" s="89">
        <f>AVERAGE(C48:E48)</f>
        <v>10.237603218600428</v>
      </c>
      <c r="H48" s="89">
        <f>MEDIAN(C48:E48)</f>
        <v>10.947358291032151</v>
      </c>
      <c r="I48" s="82"/>
      <c r="J48" s="89">
        <f>J10/J20</f>
        <v>13.460517951736316</v>
      </c>
    </row>
    <row r="49" spans="1:10" ht="12.75" customHeight="1" x14ac:dyDescent="0.3">
      <c r="A49" s="82"/>
      <c r="B49" s="82"/>
      <c r="C49" s="82"/>
      <c r="D49" s="82"/>
      <c r="E49" s="82"/>
      <c r="F49" s="82"/>
      <c r="G49" s="82"/>
      <c r="H49" s="82"/>
      <c r="I49" s="82"/>
      <c r="J49" s="82"/>
    </row>
    <row r="50" spans="1:10" x14ac:dyDescent="0.3">
      <c r="A50" s="82"/>
      <c r="B50" s="72" t="s">
        <v>256</v>
      </c>
      <c r="C50" s="72"/>
      <c r="D50" s="72"/>
      <c r="E50" s="72"/>
      <c r="F50" s="72"/>
      <c r="G50" s="72"/>
      <c r="H50" s="72"/>
      <c r="I50" s="72"/>
      <c r="J50" s="72"/>
    </row>
    <row r="51" spans="1:10" x14ac:dyDescent="0.3">
      <c r="A51" s="82"/>
      <c r="B51" s="84" t="s">
        <v>273</v>
      </c>
      <c r="C51" s="88">
        <f>C29/C35</f>
        <v>0.13490929867161833</v>
      </c>
      <c r="D51" s="88">
        <f>D29/D35</f>
        <v>0.1927876801013802</v>
      </c>
      <c r="E51" s="88">
        <f>E29/E35</f>
        <v>1.2297272370393844E-4</v>
      </c>
      <c r="F51" s="82"/>
      <c r="G51" s="88">
        <f>AVERAGE(C51:E51)</f>
        <v>0.10927331716556749</v>
      </c>
      <c r="H51" s="88">
        <f>MEDIAN(C51:E51)</f>
        <v>0.13490929867161833</v>
      </c>
      <c r="I51" s="82"/>
      <c r="J51" s="88">
        <f>J29/J35</f>
        <v>0.1031305103988019</v>
      </c>
    </row>
    <row r="52" spans="1:10" x14ac:dyDescent="0.3">
      <c r="A52" s="82"/>
      <c r="B52" s="84" t="s">
        <v>272</v>
      </c>
      <c r="C52" s="88">
        <f>C29/C36</f>
        <v>0.17461638010722869</v>
      </c>
      <c r="D52" s="88">
        <f>D29/D36</f>
        <v>0.3682964054523446</v>
      </c>
      <c r="E52" s="88">
        <f>E29/E36</f>
        <v>2.6191195728820387E-4</v>
      </c>
      <c r="F52" s="82"/>
      <c r="G52" s="88">
        <f>AVERAGE(C52:E52)</f>
        <v>0.18105823250562048</v>
      </c>
      <c r="H52" s="88">
        <f>MEDIAN(C52:E52)</f>
        <v>0.17461638010722869</v>
      </c>
      <c r="I52" s="82"/>
      <c r="J52" s="88">
        <f>J29/J36</f>
        <v>0.18920475947796414</v>
      </c>
    </row>
    <row r="53" spans="1:10" x14ac:dyDescent="0.3">
      <c r="A53" s="82"/>
      <c r="B53" s="84" t="s">
        <v>271</v>
      </c>
      <c r="C53" s="89">
        <f>C16/C24</f>
        <v>1.1071572988273353</v>
      </c>
      <c r="D53" s="89">
        <f>D16/D24</f>
        <v>-2.1350324167225574E-2</v>
      </c>
      <c r="E53" s="89">
        <f>E16/E24</f>
        <v>2.5998575160294468</v>
      </c>
      <c r="F53" s="82"/>
      <c r="G53" s="89">
        <f>AVERAGE(C53:E53)</f>
        <v>1.2285548302298521</v>
      </c>
      <c r="H53" s="89">
        <f>MEDIAN(C53:E53)</f>
        <v>1.1071572988273353</v>
      </c>
      <c r="I53" s="82"/>
      <c r="J53" s="89">
        <f>J16/J24</f>
        <v>0.3156440022111664</v>
      </c>
    </row>
    <row r="54" spans="1:10" x14ac:dyDescent="0.3">
      <c r="A54" s="82"/>
      <c r="B54" s="84" t="s">
        <v>241</v>
      </c>
      <c r="C54" s="89">
        <f>(C13+C14)/C26</f>
        <v>1.9361532322426178</v>
      </c>
      <c r="D54" s="89">
        <f>(D13+D14)/D26</f>
        <v>0.77763070814030444</v>
      </c>
      <c r="E54" s="89">
        <f>(E13+E14)/E26</f>
        <v>3.6674970805760996</v>
      </c>
      <c r="F54" s="82"/>
      <c r="G54" s="89">
        <f>AVERAGE(C54:E54)</f>
        <v>2.1270936736530071</v>
      </c>
      <c r="H54" s="89">
        <f>MEDIAN(C54:E54)</f>
        <v>1.9361532322426178</v>
      </c>
      <c r="I54" s="82"/>
      <c r="J54" s="89">
        <f>(J13+J14)/J26</f>
        <v>0.84152825741380255</v>
      </c>
    </row>
    <row r="55" spans="1:10" ht="12.75" customHeight="1" x14ac:dyDescent="0.3">
      <c r="A55" s="82"/>
      <c r="B55" s="82"/>
      <c r="C55" s="82"/>
      <c r="D55" s="82"/>
      <c r="E55" s="82"/>
      <c r="F55" s="82"/>
      <c r="G55" s="82"/>
      <c r="H55" s="82"/>
      <c r="I55" s="82"/>
      <c r="J55" s="82"/>
    </row>
    <row r="56" spans="1:10" ht="15" customHeight="1" x14ac:dyDescent="0.3">
      <c r="A56" s="82"/>
      <c r="B56" s="72" t="s">
        <v>257</v>
      </c>
      <c r="C56" s="72"/>
      <c r="D56" s="72"/>
      <c r="E56" s="72"/>
      <c r="F56" s="72"/>
      <c r="G56" s="72"/>
      <c r="H56" s="72"/>
      <c r="I56" s="72"/>
      <c r="J56" s="72"/>
    </row>
    <row r="57" spans="1:10" x14ac:dyDescent="0.3">
      <c r="A57" s="82"/>
      <c r="B57" s="84" t="s">
        <v>242</v>
      </c>
      <c r="C57" s="90">
        <v>4.2000000000000003E-2</v>
      </c>
      <c r="D57" s="90">
        <v>4.2000000000000003E-2</v>
      </c>
      <c r="E57" s="90">
        <v>4.2000000000000003E-2</v>
      </c>
      <c r="F57" s="82"/>
      <c r="G57" s="90">
        <v>4.2000000000000003E-2</v>
      </c>
      <c r="H57" s="90">
        <v>4.2000000000000003E-2</v>
      </c>
      <c r="I57" s="82"/>
      <c r="J57" s="90">
        <v>4.2000000000000003E-2</v>
      </c>
    </row>
    <row r="58" spans="1:10" x14ac:dyDescent="0.3">
      <c r="A58" s="82"/>
      <c r="B58" s="84" t="s">
        <v>270</v>
      </c>
      <c r="C58" s="90">
        <v>2.5000000000000001E-2</v>
      </c>
      <c r="D58" s="90">
        <v>2.5000000000000001E-2</v>
      </c>
      <c r="E58" s="90">
        <v>2.5000000000000001E-2</v>
      </c>
      <c r="F58" s="82"/>
      <c r="G58" s="90">
        <v>2.5000000000000001E-2</v>
      </c>
      <c r="H58" s="90">
        <v>2.5000000000000001E-2</v>
      </c>
      <c r="I58" s="82"/>
      <c r="J58" s="90">
        <v>2.5000000000000001E-2</v>
      </c>
    </row>
    <row r="59" spans="1:10" ht="15" thickBot="1" x14ac:dyDescent="0.35">
      <c r="A59" s="82"/>
      <c r="B59" s="125" t="s">
        <v>243</v>
      </c>
      <c r="C59" s="128">
        <v>1.55</v>
      </c>
      <c r="D59" s="128">
        <v>1.4</v>
      </c>
      <c r="E59" s="128">
        <v>1.1000000000000001</v>
      </c>
      <c r="F59" s="129"/>
      <c r="G59" s="129"/>
      <c r="H59" s="129"/>
      <c r="I59" s="129"/>
      <c r="J59" s="128">
        <v>1.77</v>
      </c>
    </row>
    <row r="60" spans="1:10" ht="12" customHeight="1" x14ac:dyDescent="0.3">
      <c r="A60" s="82"/>
      <c r="B60" s="91" t="s">
        <v>265</v>
      </c>
      <c r="C60" s="92">
        <f>C57+C59*C58</f>
        <v>8.0750000000000016E-2</v>
      </c>
      <c r="D60" s="92">
        <f>D57+D59*D58</f>
        <v>7.6999999999999999E-2</v>
      </c>
      <c r="E60" s="92">
        <f>E57+E59*E58</f>
        <v>6.9500000000000006E-2</v>
      </c>
      <c r="F60" s="82"/>
      <c r="G60" s="92">
        <f>AVERAGE(C60:E60)</f>
        <v>7.5749999999999998E-2</v>
      </c>
      <c r="H60" s="92">
        <f>MEDIAN(C60:E60)</f>
        <v>7.6999999999999999E-2</v>
      </c>
      <c r="I60" s="82"/>
      <c r="J60" s="92">
        <f>J57+J59*J58</f>
        <v>8.6250000000000007E-2</v>
      </c>
    </row>
    <row r="61" spans="1:10" ht="12" customHeight="1" x14ac:dyDescent="0.3">
      <c r="A61" s="82"/>
      <c r="B61" s="91"/>
      <c r="C61" s="92"/>
      <c r="D61" s="92"/>
      <c r="E61" s="92"/>
      <c r="F61" s="82"/>
      <c r="G61" s="92"/>
      <c r="H61" s="92"/>
      <c r="I61" s="82"/>
      <c r="J61" s="92"/>
    </row>
    <row r="62" spans="1:10" x14ac:dyDescent="0.3">
      <c r="A62" s="82"/>
      <c r="B62" s="84" t="s">
        <v>244</v>
      </c>
      <c r="C62" s="90">
        <v>5.5E-2</v>
      </c>
      <c r="D62" s="90">
        <v>3.5000000000000003E-2</v>
      </c>
      <c r="E62" s="90">
        <v>0.05</v>
      </c>
      <c r="F62" s="82"/>
      <c r="G62" s="82"/>
      <c r="H62" s="82"/>
      <c r="I62" s="82"/>
      <c r="J62" s="90">
        <v>5.2999999999999999E-2</v>
      </c>
    </row>
    <row r="63" spans="1:10" ht="15" thickBot="1" x14ac:dyDescent="0.35">
      <c r="A63" s="82"/>
      <c r="B63" s="125" t="s">
        <v>292</v>
      </c>
      <c r="C63" s="130">
        <v>0.21</v>
      </c>
      <c r="D63" s="130">
        <v>0.21</v>
      </c>
      <c r="E63" s="130">
        <v>0.21</v>
      </c>
      <c r="F63" s="129"/>
      <c r="G63" s="129"/>
      <c r="H63" s="129"/>
      <c r="I63" s="129"/>
      <c r="J63" s="130">
        <v>0.21</v>
      </c>
    </row>
    <row r="64" spans="1:10" x14ac:dyDescent="0.3">
      <c r="A64" s="82"/>
      <c r="B64" s="85" t="s">
        <v>266</v>
      </c>
      <c r="C64" s="92">
        <f>C62*(1-C63)</f>
        <v>4.3450000000000003E-2</v>
      </c>
      <c r="D64" s="92">
        <f>D62*(1-D63)</f>
        <v>2.7650000000000004E-2</v>
      </c>
      <c r="E64" s="92">
        <f>E62*(1-E63)</f>
        <v>3.9500000000000007E-2</v>
      </c>
      <c r="F64" s="82"/>
      <c r="G64" s="92">
        <f>AVERAGE(C64:E64)</f>
        <v>3.6866666666666673E-2</v>
      </c>
      <c r="H64" s="92">
        <f>MEDIAN(C64:E64)</f>
        <v>3.9500000000000007E-2</v>
      </c>
      <c r="I64" s="82"/>
      <c r="J64" s="92">
        <f>J62*(1-J63)</f>
        <v>4.1869999999999997E-2</v>
      </c>
    </row>
    <row r="65" spans="1:10" x14ac:dyDescent="0.3">
      <c r="A65" s="82"/>
      <c r="B65" s="85"/>
      <c r="C65" s="92"/>
      <c r="D65" s="92"/>
      <c r="E65" s="92"/>
      <c r="F65" s="82"/>
      <c r="G65" s="92"/>
      <c r="H65" s="92"/>
      <c r="I65" s="82"/>
      <c r="J65" s="92"/>
    </row>
    <row r="66" spans="1:10" x14ac:dyDescent="0.3">
      <c r="A66" s="82"/>
      <c r="B66" s="84" t="s">
        <v>267</v>
      </c>
      <c r="C66" s="88">
        <f>(C13+C14)/(C13+C14+C10)</f>
        <v>3.6230598951089807E-2</v>
      </c>
      <c r="D66" s="88">
        <f>(D13+D14)/(D13+D14+D10)</f>
        <v>2.2197407305043947E-2</v>
      </c>
      <c r="E66" s="88">
        <f>(E13+E14)/(E13+E14+E10)</f>
        <v>0.1255520837664186</v>
      </c>
      <c r="F66" s="82"/>
      <c r="G66" s="88">
        <f>AVERAGE(C66:E66)</f>
        <v>6.1326696674184118E-2</v>
      </c>
      <c r="H66" s="88">
        <f>MEDIAN(C66:E66)</f>
        <v>3.6230598951089807E-2</v>
      </c>
      <c r="I66" s="82"/>
      <c r="J66" s="88">
        <f>(J13+J14)/(J13+J14+J10)</f>
        <v>2.9609671546347738E-2</v>
      </c>
    </row>
    <row r="67" spans="1:10" ht="15" thickBot="1" x14ac:dyDescent="0.35">
      <c r="A67" s="82"/>
      <c r="B67" s="125" t="s">
        <v>268</v>
      </c>
      <c r="C67" s="131">
        <f>1-C66</f>
        <v>0.96376940104891018</v>
      </c>
      <c r="D67" s="131">
        <f>1-D66</f>
        <v>0.97780259269495606</v>
      </c>
      <c r="E67" s="131">
        <f>1-E66</f>
        <v>0.87444791623358142</v>
      </c>
      <c r="F67" s="129"/>
      <c r="G67" s="131">
        <f>AVERAGE(C67:E67)</f>
        <v>0.938673303325816</v>
      </c>
      <c r="H67" s="131">
        <f>MEDIAN(C67:E67)</f>
        <v>0.96376940104891018</v>
      </c>
      <c r="I67" s="129"/>
      <c r="J67" s="131">
        <f>1-J66</f>
        <v>0.97039032845365225</v>
      </c>
    </row>
    <row r="68" spans="1:10" x14ac:dyDescent="0.3">
      <c r="A68" s="82"/>
      <c r="B68" s="85" t="s">
        <v>269</v>
      </c>
      <c r="C68" s="92">
        <f>C67*C60+C66*C64</f>
        <v>7.9398598659124367E-2</v>
      </c>
      <c r="D68" s="92">
        <f>D67*D60+D66*D64</f>
        <v>7.590455794949609E-2</v>
      </c>
      <c r="E68" s="92">
        <f>E67*E60+E66*E64</f>
        <v>6.5733437487007454E-2</v>
      </c>
      <c r="F68" s="82"/>
      <c r="G68" s="92">
        <f>AVERAGE(C68:E68)</f>
        <v>7.3678864698542637E-2</v>
      </c>
      <c r="H68" s="92">
        <f>MEDIAN(C68:E68)</f>
        <v>7.590455794949609E-2</v>
      </c>
      <c r="I68" s="82"/>
      <c r="J68" s="92">
        <f>J67*J60+J66*J64</f>
        <v>8.4935922776773101E-2</v>
      </c>
    </row>
    <row r="69" spans="1:10" x14ac:dyDescent="0.3">
      <c r="A69" s="82"/>
      <c r="B69" s="82"/>
      <c r="C69" s="82"/>
      <c r="D69" s="82"/>
      <c r="E69" s="82"/>
      <c r="F69" s="82"/>
      <c r="G69" s="82"/>
      <c r="H69" s="82"/>
      <c r="I69" s="82"/>
      <c r="J69" s="82"/>
    </row>
    <row r="70" spans="1:10" x14ac:dyDescent="0.3">
      <c r="A70" s="82"/>
      <c r="B70" s="47" t="s">
        <v>297</v>
      </c>
      <c r="C70" s="114"/>
      <c r="D70" s="114"/>
      <c r="E70" s="114"/>
      <c r="F70" s="114"/>
      <c r="G70" s="114"/>
      <c r="H70" s="114"/>
      <c r="I70" s="114"/>
      <c r="J70" s="114"/>
    </row>
    <row r="71" spans="1:10" ht="30.6" x14ac:dyDescent="0.3">
      <c r="A71" s="82"/>
      <c r="B71" s="84" t="s">
        <v>245</v>
      </c>
      <c r="C71" s="93" t="s">
        <v>246</v>
      </c>
      <c r="D71" s="93" t="s">
        <v>247</v>
      </c>
      <c r="E71" s="93" t="s">
        <v>248</v>
      </c>
      <c r="F71" s="93" t="s">
        <v>289</v>
      </c>
      <c r="G71" s="93" t="s">
        <v>295</v>
      </c>
      <c r="H71" s="93" t="s">
        <v>296</v>
      </c>
      <c r="I71" s="93" t="s">
        <v>249</v>
      </c>
      <c r="J71" s="93" t="s">
        <v>187</v>
      </c>
    </row>
    <row r="72" spans="1:10" x14ac:dyDescent="0.3">
      <c r="A72" s="82"/>
      <c r="B72" s="84" t="s">
        <v>250</v>
      </c>
      <c r="C72" s="89">
        <f>0.6*C46+0.4*D46</f>
        <v>58.74669549811631</v>
      </c>
      <c r="D72" s="94">
        <f>J29</f>
        <v>8539</v>
      </c>
      <c r="E72" s="94">
        <f>C72*D72</f>
        <v>501638.03285841516</v>
      </c>
      <c r="F72" s="95" t="s">
        <v>288</v>
      </c>
      <c r="G72" s="94">
        <f>E72</f>
        <v>501638.03285841516</v>
      </c>
      <c r="H72" s="94">
        <f>J9</f>
        <v>1122</v>
      </c>
      <c r="I72" s="133">
        <f>G72/H72</f>
        <v>447.09272090767837</v>
      </c>
      <c r="J72" s="90">
        <v>0.5</v>
      </c>
    </row>
    <row r="73" spans="1:10" x14ac:dyDescent="0.3">
      <c r="A73" s="82"/>
      <c r="B73" s="84" t="s">
        <v>286</v>
      </c>
      <c r="C73" s="89">
        <f>H41</f>
        <v>34.693009166107764</v>
      </c>
      <c r="D73" s="94">
        <f>J24</f>
        <v>18090</v>
      </c>
      <c r="E73" s="94">
        <f>C73*D73</f>
        <v>627596.53581488947</v>
      </c>
      <c r="F73" s="94">
        <f>J16</f>
        <v>5710</v>
      </c>
      <c r="G73" s="94">
        <f>E73-F73</f>
        <v>621886.53581488947</v>
      </c>
      <c r="H73" s="94">
        <f>J9</f>
        <v>1122</v>
      </c>
      <c r="I73" s="133">
        <f>G73/H73</f>
        <v>554.26607470132751</v>
      </c>
      <c r="J73" s="90">
        <v>0.5</v>
      </c>
    </row>
    <row r="74" spans="1:10" x14ac:dyDescent="0.3">
      <c r="A74" s="82"/>
      <c r="B74" s="84" t="s">
        <v>285</v>
      </c>
      <c r="C74" s="96">
        <f>H40</f>
        <v>10.940625352509871</v>
      </c>
      <c r="D74" s="97">
        <f>J20</f>
        <v>37378</v>
      </c>
      <c r="E74" s="97">
        <f>C74*D74</f>
        <v>408938.69442611397</v>
      </c>
      <c r="F74" s="97">
        <f>J16</f>
        <v>5710</v>
      </c>
      <c r="G74" s="97">
        <f>E74-F74</f>
        <v>403228.69442611397</v>
      </c>
      <c r="H74" s="97">
        <f>J9</f>
        <v>1122</v>
      </c>
      <c r="I74" s="134">
        <f>G74/H74</f>
        <v>359.38386312487876</v>
      </c>
      <c r="J74" s="90">
        <v>0</v>
      </c>
    </row>
    <row r="75" spans="1:10" x14ac:dyDescent="0.3">
      <c r="A75" s="82"/>
      <c r="B75" s="82"/>
      <c r="C75" s="82"/>
      <c r="D75" s="82"/>
      <c r="E75" s="82"/>
      <c r="F75" s="82"/>
      <c r="G75" s="82"/>
      <c r="H75" s="82"/>
      <c r="I75" s="82"/>
      <c r="J75" s="82"/>
    </row>
    <row r="76" spans="1:10" x14ac:dyDescent="0.3">
      <c r="A76" s="82"/>
      <c r="B76" s="63" t="s">
        <v>298</v>
      </c>
      <c r="C76"/>
      <c r="D76"/>
      <c r="E76"/>
      <c r="F76"/>
      <c r="G76"/>
      <c r="H76"/>
      <c r="I76" s="98">
        <f>I72*J72+I73*J73+I74*J74</f>
        <v>500.67939780450297</v>
      </c>
      <c r="J76"/>
    </row>
    <row r="77" spans="1:10" x14ac:dyDescent="0.3">
      <c r="A77" s="82"/>
      <c r="B77" s="123" t="s">
        <v>294</v>
      </c>
      <c r="C77" s="82"/>
      <c r="D77" s="82"/>
      <c r="E77" s="82"/>
      <c r="F77" s="82"/>
      <c r="G77" s="82"/>
      <c r="H77" s="82"/>
      <c r="I77" s="132">
        <f>J8</f>
        <v>448.42</v>
      </c>
      <c r="J77" s="82"/>
    </row>
    <row r="78" spans="1:10" x14ac:dyDescent="0.3">
      <c r="A78" s="82"/>
      <c r="B78" s="115" t="s">
        <v>251</v>
      </c>
      <c r="C78" s="82"/>
      <c r="D78" s="82"/>
      <c r="E78" s="82"/>
      <c r="F78" s="82"/>
      <c r="G78" s="82"/>
      <c r="H78" s="82"/>
      <c r="I78" s="88">
        <f>I76/I77-1</f>
        <v>0.11654118416775106</v>
      </c>
      <c r="J78" s="82"/>
    </row>
    <row r="79" spans="1:10" x14ac:dyDescent="0.3">
      <c r="A79" s="82"/>
      <c r="B79" s="82"/>
      <c r="C79" s="82"/>
      <c r="D79" s="82"/>
      <c r="E79" s="82"/>
      <c r="F79" s="82"/>
      <c r="G79" s="82"/>
      <c r="H79" s="82"/>
      <c r="I79" s="99" t="str">
        <f>IF(I76&gt;I77," BUY, Implied value exceeds market price"," HOLD/SELL, Implied value at or below market price")</f>
        <v xml:space="preserve"> BUY, Implied value exceeds market price</v>
      </c>
      <c r="J79" s="99"/>
    </row>
    <row r="80" spans="1:10" x14ac:dyDescent="0.3">
      <c r="B80" s="81"/>
    </row>
    <row r="83" ht="13.5" customHeight="1" x14ac:dyDescent="0.3"/>
    <row r="84" ht="13.5" customHeight="1" x14ac:dyDescent="0.3"/>
    <row r="85" ht="12" customHeight="1" x14ac:dyDescent="0.3"/>
    <row r="86" ht="12.75" customHeight="1" x14ac:dyDescent="0.3"/>
    <row r="87" ht="12.75" customHeight="1" x14ac:dyDescent="0.3"/>
  </sheetData>
  <pageMargins left="0.75" right="0.75" top="1" bottom="1" header="0.511811023622047" footer="0.511811023622047"/>
  <pageSetup paperSize="9"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9C5DF-8917-4584-9A97-9B25D204F514}">
  <sheetPr>
    <outlinePr summaryBelow="0" summaryRight="0"/>
    <pageSetUpPr autoPageBreaks="0"/>
  </sheetPr>
  <dimension ref="A1:IU90"/>
  <sheetViews>
    <sheetView workbookViewId="0"/>
  </sheetViews>
  <sheetFormatPr defaultColWidth="11.5546875" defaultRowHeight="10.199999999999999" outlineLevelRow="1" x14ac:dyDescent="0.2"/>
  <cols>
    <col min="1" max="1" width="11.5546875" style="1"/>
    <col min="2" max="2" width="45.77734375" style="1" customWidth="1"/>
    <col min="3" max="7" width="14.77734375" style="1" customWidth="1"/>
    <col min="8" max="257" width="8.77734375" style="1" customWidth="1"/>
    <col min="258" max="16384" width="11.5546875" style="1"/>
  </cols>
  <sheetData>
    <row r="1" spans="1:255" x14ac:dyDescent="0.2">
      <c r="A1" s="116" t="s">
        <v>290</v>
      </c>
    </row>
    <row r="2" spans="1:255" x14ac:dyDescent="0.2">
      <c r="B2" s="4" t="s">
        <v>24</v>
      </c>
      <c r="C2" s="4"/>
      <c r="D2" s="4"/>
      <c r="E2" s="4"/>
      <c r="F2" s="4"/>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ht="20.399999999999999" x14ac:dyDescent="0.2">
      <c r="B3" s="22" t="s">
        <v>25</v>
      </c>
      <c r="C3" s="23" t="s">
        <v>134</v>
      </c>
      <c r="D3" s="23" t="s">
        <v>133</v>
      </c>
      <c r="E3" s="23" t="s">
        <v>132</v>
      </c>
      <c r="F3" s="23" t="s">
        <v>131</v>
      </c>
      <c r="G3" s="23" t="s">
        <v>125</v>
      </c>
    </row>
    <row r="4" spans="1:255" x14ac:dyDescent="0.2">
      <c r="B4" s="24" t="s">
        <v>2</v>
      </c>
      <c r="C4" s="25" t="s">
        <v>3</v>
      </c>
      <c r="D4" s="25" t="s">
        <v>3</v>
      </c>
      <c r="E4" s="25" t="s">
        <v>3</v>
      </c>
      <c r="F4" s="25" t="s">
        <v>3</v>
      </c>
      <c r="G4" s="25" t="s">
        <v>3</v>
      </c>
    </row>
    <row r="5" spans="1:255" x14ac:dyDescent="0.2">
      <c r="B5" s="6" t="s">
        <v>26</v>
      </c>
      <c r="C5" s="3"/>
      <c r="D5" s="3"/>
      <c r="E5" s="3"/>
      <c r="F5" s="3"/>
      <c r="G5" s="3"/>
    </row>
    <row r="6" spans="1:255" x14ac:dyDescent="0.2">
      <c r="B6" s="3" t="s">
        <v>27</v>
      </c>
      <c r="C6" s="7">
        <v>7763</v>
      </c>
      <c r="D6" s="7">
        <v>8262</v>
      </c>
      <c r="E6" s="7">
        <v>8577</v>
      </c>
      <c r="F6" s="7">
        <v>7041</v>
      </c>
      <c r="G6" s="7">
        <v>9642</v>
      </c>
    </row>
    <row r="7" spans="1:255" x14ac:dyDescent="0.2">
      <c r="B7" s="3" t="s">
        <v>28</v>
      </c>
      <c r="C7" s="7">
        <v>870</v>
      </c>
      <c r="D7" s="7">
        <v>1069</v>
      </c>
      <c r="E7" s="7">
        <v>1017</v>
      </c>
      <c r="F7" s="7">
        <v>1065</v>
      </c>
      <c r="G7" s="7">
        <v>665</v>
      </c>
    </row>
    <row r="8" spans="1:255" x14ac:dyDescent="0.2">
      <c r="B8" s="3" t="s">
        <v>29</v>
      </c>
      <c r="C8" s="7">
        <v>4920</v>
      </c>
      <c r="D8" s="7">
        <v>4765</v>
      </c>
      <c r="E8" s="7">
        <v>2048</v>
      </c>
      <c r="F8" s="7">
        <v>5419</v>
      </c>
      <c r="G8" s="7">
        <v>7163</v>
      </c>
    </row>
    <row r="9" spans="1:255" x14ac:dyDescent="0.2">
      <c r="B9" s="3" t="s">
        <v>30</v>
      </c>
      <c r="C9" s="7">
        <v>391</v>
      </c>
      <c r="D9" s="7">
        <v>365</v>
      </c>
      <c r="E9" s="7">
        <v>395</v>
      </c>
      <c r="F9" s="7">
        <v>1196</v>
      </c>
      <c r="G9" s="7">
        <v>2102</v>
      </c>
    </row>
    <row r="10" spans="1:255" x14ac:dyDescent="0.2">
      <c r="B10" s="3" t="s">
        <v>31</v>
      </c>
      <c r="C10" s="7">
        <v>4487</v>
      </c>
      <c r="D10" s="7">
        <v>6663</v>
      </c>
      <c r="E10" s="7">
        <v>8387</v>
      </c>
      <c r="F10" s="7">
        <v>8875</v>
      </c>
      <c r="G10" s="7">
        <v>8355</v>
      </c>
    </row>
    <row r="11" spans="1:255" x14ac:dyDescent="0.2">
      <c r="B11" s="3" t="s">
        <v>32</v>
      </c>
      <c r="C11" s="7">
        <v>1476</v>
      </c>
      <c r="D11" s="7">
        <v>657</v>
      </c>
      <c r="E11" s="7">
        <v>820</v>
      </c>
      <c r="F11" s="7">
        <v>776</v>
      </c>
      <c r="G11" s="7">
        <v>914</v>
      </c>
    </row>
    <row r="12" spans="1:255" x14ac:dyDescent="0.2">
      <c r="B12" s="6" t="s">
        <v>33</v>
      </c>
      <c r="C12" s="8">
        <f>SUM(C6:C11)</f>
        <v>19907</v>
      </c>
      <c r="D12" s="8">
        <f t="shared" ref="D12:G12" si="0">SUM(D6:D11)</f>
        <v>21781</v>
      </c>
      <c r="E12" s="8">
        <f t="shared" si="0"/>
        <v>21244</v>
      </c>
      <c r="F12" s="8">
        <f t="shared" si="0"/>
        <v>24372</v>
      </c>
      <c r="G12" s="8">
        <f t="shared" si="0"/>
        <v>28841</v>
      </c>
    </row>
    <row r="13" spans="1:255" x14ac:dyDescent="0.2">
      <c r="B13" s="3"/>
      <c r="C13" s="3"/>
      <c r="D13" s="3"/>
      <c r="E13" s="3"/>
      <c r="F13" s="3"/>
      <c r="G13" s="3"/>
    </row>
    <row r="14" spans="1:255" x14ac:dyDescent="0.2">
      <c r="B14" s="3" t="s">
        <v>151</v>
      </c>
      <c r="C14" s="46">
        <v>551</v>
      </c>
      <c r="D14" s="46">
        <v>678</v>
      </c>
      <c r="E14" s="46">
        <v>666</v>
      </c>
      <c r="F14" s="46">
        <v>645</v>
      </c>
      <c r="G14" s="46">
        <v>736</v>
      </c>
    </row>
    <row r="15" spans="1:255" x14ac:dyDescent="0.2">
      <c r="B15" s="3" t="s">
        <v>152</v>
      </c>
      <c r="C15" s="46">
        <v>33213</v>
      </c>
      <c r="D15" s="46">
        <v>38549</v>
      </c>
      <c r="E15" s="46">
        <v>37928</v>
      </c>
      <c r="F15" s="46">
        <v>39749</v>
      </c>
      <c r="G15" s="46">
        <v>46590</v>
      </c>
    </row>
    <row r="16" spans="1:255" x14ac:dyDescent="0.2">
      <c r="B16" s="3" t="s">
        <v>34</v>
      </c>
      <c r="C16" s="7">
        <v>1765</v>
      </c>
      <c r="D16" s="7">
        <v>1869</v>
      </c>
      <c r="E16" s="7">
        <v>1062</v>
      </c>
      <c r="F16" s="7">
        <v>1236</v>
      </c>
      <c r="G16" s="7">
        <v>1823</v>
      </c>
    </row>
    <row r="17" spans="2:7" x14ac:dyDescent="0.2">
      <c r="B17" s="3" t="s">
        <v>35</v>
      </c>
      <c r="C17" s="7">
        <v>1228</v>
      </c>
      <c r="D17" s="7">
        <v>1228</v>
      </c>
      <c r="E17" s="7">
        <v>1150</v>
      </c>
      <c r="F17" s="7">
        <v>1150</v>
      </c>
      <c r="G17" s="7">
        <v>1150</v>
      </c>
    </row>
    <row r="18" spans="2:7" x14ac:dyDescent="0.2">
      <c r="B18" s="3" t="s">
        <v>36</v>
      </c>
      <c r="C18" s="7">
        <v>349</v>
      </c>
      <c r="D18" s="7">
        <v>421</v>
      </c>
      <c r="E18" s="7">
        <v>404</v>
      </c>
      <c r="F18" s="7">
        <v>416</v>
      </c>
      <c r="G18" s="7">
        <v>453</v>
      </c>
    </row>
    <row r="19" spans="2:7" x14ac:dyDescent="0.2">
      <c r="B19" s="3" t="s">
        <v>37</v>
      </c>
      <c r="C19" s="7">
        <v>782</v>
      </c>
      <c r="D19" s="7">
        <v>702</v>
      </c>
      <c r="E19" s="7">
        <v>756</v>
      </c>
      <c r="F19" s="7">
        <v>520</v>
      </c>
      <c r="G19" s="7">
        <v>616</v>
      </c>
    </row>
    <row r="20" spans="2:7" x14ac:dyDescent="0.2">
      <c r="B20" s="3" t="s">
        <v>38</v>
      </c>
      <c r="C20" s="7">
        <v>1054</v>
      </c>
      <c r="D20" s="7">
        <v>1055</v>
      </c>
      <c r="E20" s="7">
        <v>1044</v>
      </c>
      <c r="F20" s="7">
        <v>1328</v>
      </c>
      <c r="G20" s="7">
        <v>2589</v>
      </c>
    </row>
    <row r="21" spans="2:7" x14ac:dyDescent="0.2">
      <c r="B21" s="6" t="s">
        <v>39</v>
      </c>
      <c r="C21" s="9">
        <f>C12+SUM(C14:C20)</f>
        <v>58849</v>
      </c>
      <c r="D21" s="9">
        <f>D12+SUM(D14:D20)</f>
        <v>66283</v>
      </c>
      <c r="E21" s="9">
        <f>E12+SUM(E14:E20)</f>
        <v>64254</v>
      </c>
      <c r="F21" s="9">
        <f>F12+SUM(F14:F20)</f>
        <v>69416</v>
      </c>
      <c r="G21" s="9">
        <f>G12+SUM(G14:G20)</f>
        <v>82798</v>
      </c>
    </row>
    <row r="22" spans="2:7" x14ac:dyDescent="0.2">
      <c r="B22" s="3"/>
      <c r="C22" s="3"/>
      <c r="D22" s="3"/>
      <c r="E22" s="3"/>
      <c r="F22" s="3"/>
      <c r="G22" s="3"/>
    </row>
    <row r="23" spans="2:7" x14ac:dyDescent="0.2">
      <c r="B23" s="6" t="s">
        <v>40</v>
      </c>
      <c r="C23" s="3"/>
      <c r="D23" s="3"/>
      <c r="E23" s="3"/>
      <c r="F23" s="3"/>
      <c r="G23" s="3"/>
    </row>
    <row r="24" spans="2:7" x14ac:dyDescent="0.2">
      <c r="B24" s="3" t="s">
        <v>41</v>
      </c>
      <c r="C24" s="7">
        <v>1744</v>
      </c>
      <c r="D24" s="7">
        <v>2142</v>
      </c>
      <c r="E24" s="7">
        <v>1725</v>
      </c>
      <c r="F24" s="7">
        <v>2726</v>
      </c>
      <c r="G24" s="7">
        <v>3132</v>
      </c>
    </row>
    <row r="25" spans="2:7" x14ac:dyDescent="0.2">
      <c r="B25" s="3" t="s">
        <v>42</v>
      </c>
      <c r="C25" s="7">
        <v>984</v>
      </c>
      <c r="D25" s="7">
        <v>877</v>
      </c>
      <c r="E25" s="7">
        <v>367</v>
      </c>
      <c r="F25" s="7">
        <v>1117</v>
      </c>
      <c r="G25" s="7">
        <v>1116</v>
      </c>
    </row>
    <row r="26" spans="2:7" x14ac:dyDescent="0.2">
      <c r="B26" s="3" t="s">
        <v>43</v>
      </c>
      <c r="C26" s="7" t="s">
        <v>7</v>
      </c>
      <c r="D26" s="7" t="s">
        <v>7</v>
      </c>
      <c r="E26" s="7">
        <v>106</v>
      </c>
      <c r="F26" s="7">
        <v>106</v>
      </c>
      <c r="G26" s="7" t="s">
        <v>7</v>
      </c>
    </row>
    <row r="27" spans="2:7" x14ac:dyDescent="0.2">
      <c r="B27" s="3" t="s">
        <v>44</v>
      </c>
      <c r="C27" s="7">
        <v>210</v>
      </c>
      <c r="D27" s="7">
        <v>163</v>
      </c>
      <c r="E27" s="7">
        <v>238</v>
      </c>
      <c r="F27" s="7">
        <v>396</v>
      </c>
      <c r="G27" s="7">
        <v>634</v>
      </c>
    </row>
    <row r="28" spans="2:7" x14ac:dyDescent="0.2">
      <c r="B28" s="3" t="s">
        <v>45</v>
      </c>
      <c r="C28" s="7">
        <v>364</v>
      </c>
      <c r="D28" s="7">
        <v>420</v>
      </c>
      <c r="E28" s="7">
        <v>67</v>
      </c>
      <c r="F28" s="7">
        <v>218</v>
      </c>
      <c r="G28" s="7">
        <v>628</v>
      </c>
    </row>
    <row r="29" spans="2:7" x14ac:dyDescent="0.2">
      <c r="B29" s="3" t="s">
        <v>46</v>
      </c>
      <c r="C29" s="7" t="s">
        <v>7</v>
      </c>
      <c r="D29" s="7" t="s">
        <v>7</v>
      </c>
      <c r="E29" s="7" t="s">
        <v>7</v>
      </c>
      <c r="F29" s="7">
        <v>766</v>
      </c>
      <c r="G29" s="7">
        <v>26</v>
      </c>
    </row>
    <row r="30" spans="2:7" x14ac:dyDescent="0.2">
      <c r="B30" s="3" t="s">
        <v>47</v>
      </c>
      <c r="C30" s="7">
        <v>3122</v>
      </c>
      <c r="D30" s="7">
        <v>3937</v>
      </c>
      <c r="E30" s="7">
        <v>2262</v>
      </c>
      <c r="F30" s="7">
        <v>3919</v>
      </c>
      <c r="G30" s="7">
        <v>5918</v>
      </c>
    </row>
    <row r="31" spans="2:7" x14ac:dyDescent="0.2">
      <c r="B31" s="6" t="s">
        <v>48</v>
      </c>
      <c r="C31" s="8">
        <v>6424</v>
      </c>
      <c r="D31" s="8">
        <v>7539</v>
      </c>
      <c r="E31" s="8">
        <v>4765</v>
      </c>
      <c r="F31" s="8">
        <v>9248</v>
      </c>
      <c r="G31" s="8">
        <v>11454</v>
      </c>
    </row>
    <row r="32" spans="2:7" x14ac:dyDescent="0.2">
      <c r="B32" s="3"/>
      <c r="C32" s="3"/>
      <c r="D32" s="3"/>
      <c r="E32" s="3"/>
      <c r="F32" s="3"/>
      <c r="G32" s="3"/>
    </row>
    <row r="33" spans="2:7" x14ac:dyDescent="0.2">
      <c r="B33" s="3" t="s">
        <v>49</v>
      </c>
      <c r="C33" s="7">
        <v>5972</v>
      </c>
      <c r="D33" s="7">
        <v>6020</v>
      </c>
      <c r="E33" s="7">
        <v>11943</v>
      </c>
      <c r="F33" s="7">
        <v>11237</v>
      </c>
      <c r="G33" s="7">
        <v>11533</v>
      </c>
    </row>
    <row r="34" spans="2:7" x14ac:dyDescent="0.2">
      <c r="B34" s="3" t="s">
        <v>50</v>
      </c>
      <c r="C34" s="7">
        <v>1153</v>
      </c>
      <c r="D34" s="7">
        <v>1393</v>
      </c>
      <c r="E34" s="7">
        <v>1712</v>
      </c>
      <c r="F34" s="7">
        <v>2339</v>
      </c>
      <c r="G34" s="7">
        <v>3185</v>
      </c>
    </row>
    <row r="35" spans="2:7" x14ac:dyDescent="0.2">
      <c r="B35" s="3" t="s">
        <v>51</v>
      </c>
      <c r="C35" s="7" t="s">
        <v>7</v>
      </c>
      <c r="D35" s="7" t="s">
        <v>7</v>
      </c>
      <c r="E35" s="7" t="s">
        <v>7</v>
      </c>
      <c r="F35" s="7">
        <v>141</v>
      </c>
      <c r="G35" s="7">
        <v>143</v>
      </c>
    </row>
    <row r="36" spans="2:7" x14ac:dyDescent="0.2">
      <c r="B36" s="3" t="s">
        <v>52</v>
      </c>
      <c r="C36" s="7">
        <v>10</v>
      </c>
      <c r="D36" s="7">
        <v>13</v>
      </c>
      <c r="E36" s="7">
        <v>117</v>
      </c>
      <c r="F36" s="7">
        <v>59</v>
      </c>
      <c r="G36" s="7">
        <v>52</v>
      </c>
    </row>
    <row r="37" spans="2:7" x14ac:dyDescent="0.2">
      <c r="B37" s="3" t="s">
        <v>53</v>
      </c>
      <c r="C37" s="7">
        <v>1357</v>
      </c>
      <c r="D37" s="7">
        <v>1411</v>
      </c>
      <c r="E37" s="7">
        <v>1597</v>
      </c>
      <c r="F37" s="7">
        <v>1261</v>
      </c>
      <c r="G37" s="7">
        <v>2266</v>
      </c>
    </row>
    <row r="38" spans="2:7" x14ac:dyDescent="0.2">
      <c r="B38" s="6" t="s">
        <v>54</v>
      </c>
      <c r="C38" s="8">
        <v>14916</v>
      </c>
      <c r="D38" s="8">
        <v>16376</v>
      </c>
      <c r="E38" s="8">
        <v>20134</v>
      </c>
      <c r="F38" s="8">
        <v>24285</v>
      </c>
      <c r="G38" s="8">
        <v>28633</v>
      </c>
    </row>
    <row r="39" spans="2:7" x14ac:dyDescent="0.2">
      <c r="B39" s="3"/>
      <c r="C39" s="3"/>
      <c r="D39" s="3"/>
      <c r="E39" s="3"/>
      <c r="F39" s="3"/>
      <c r="G39" s="3"/>
    </row>
    <row r="40" spans="2:7" x14ac:dyDescent="0.2">
      <c r="B40" s="3" t="s">
        <v>55</v>
      </c>
      <c r="C40" s="7">
        <v>122</v>
      </c>
      <c r="D40" s="7">
        <v>123</v>
      </c>
      <c r="E40" s="7">
        <v>124</v>
      </c>
      <c r="F40" s="7">
        <v>125</v>
      </c>
      <c r="G40" s="7">
        <v>127</v>
      </c>
    </row>
    <row r="41" spans="2:7" x14ac:dyDescent="0.2">
      <c r="B41" s="3" t="s">
        <v>56</v>
      </c>
      <c r="C41" s="7">
        <v>9453</v>
      </c>
      <c r="D41" s="7">
        <v>10197</v>
      </c>
      <c r="E41" s="7">
        <v>11036</v>
      </c>
      <c r="F41" s="7">
        <v>12115</v>
      </c>
      <c r="G41" s="7">
        <v>13339</v>
      </c>
    </row>
    <row r="42" spans="2:7" x14ac:dyDescent="0.2">
      <c r="B42" s="3" t="s">
        <v>57</v>
      </c>
      <c r="C42" s="7">
        <v>39051</v>
      </c>
      <c r="D42" s="7">
        <v>47274</v>
      </c>
      <c r="E42" s="7">
        <v>40824</v>
      </c>
      <c r="F42" s="7">
        <v>40877</v>
      </c>
      <c r="G42" s="7">
        <v>48583</v>
      </c>
    </row>
    <row r="43" spans="2:7" x14ac:dyDescent="0.2">
      <c r="B43" s="3" t="s">
        <v>58</v>
      </c>
      <c r="C43" s="7">
        <v>-4695</v>
      </c>
      <c r="D43" s="7">
        <v>-7127</v>
      </c>
      <c r="E43" s="7">
        <v>-7552</v>
      </c>
      <c r="F43" s="7">
        <v>-7852</v>
      </c>
      <c r="G43" s="7">
        <v>-7852</v>
      </c>
    </row>
    <row r="44" spans="2:7" x14ac:dyDescent="0.2">
      <c r="B44" s="3" t="s">
        <v>59</v>
      </c>
      <c r="C44" s="7">
        <v>2</v>
      </c>
      <c r="D44" s="7">
        <v>-560</v>
      </c>
      <c r="E44" s="7">
        <v>-312</v>
      </c>
      <c r="F44" s="7">
        <v>-134</v>
      </c>
      <c r="G44" s="7">
        <v>-32</v>
      </c>
    </row>
    <row r="45" spans="2:7" x14ac:dyDescent="0.2">
      <c r="B45" s="6" t="s">
        <v>60</v>
      </c>
      <c r="C45" s="8">
        <v>43933</v>
      </c>
      <c r="D45" s="8">
        <v>49907</v>
      </c>
      <c r="E45" s="8">
        <v>44120</v>
      </c>
      <c r="F45" s="8">
        <v>45131</v>
      </c>
      <c r="G45" s="8">
        <v>54165</v>
      </c>
    </row>
    <row r="46" spans="2:7" x14ac:dyDescent="0.2">
      <c r="B46" s="3"/>
      <c r="C46" s="3"/>
      <c r="D46" s="3"/>
      <c r="E46" s="3"/>
      <c r="F46" s="3"/>
      <c r="G46" s="3"/>
    </row>
    <row r="47" spans="2:7" x14ac:dyDescent="0.2">
      <c r="B47" s="6" t="s">
        <v>61</v>
      </c>
      <c r="C47" s="15">
        <v>43933</v>
      </c>
      <c r="D47" s="15">
        <v>49907</v>
      </c>
      <c r="E47" s="15">
        <v>44120</v>
      </c>
      <c r="F47" s="15">
        <v>45131</v>
      </c>
      <c r="G47" s="15">
        <v>54165</v>
      </c>
    </row>
    <row r="48" spans="2:7" x14ac:dyDescent="0.2">
      <c r="B48" s="3"/>
      <c r="C48" s="3"/>
      <c r="D48" s="3"/>
      <c r="E48" s="3"/>
      <c r="F48" s="3"/>
      <c r="G48" s="3"/>
    </row>
    <row r="49" spans="2:7" x14ac:dyDescent="0.2">
      <c r="B49" s="6" t="s">
        <v>62</v>
      </c>
      <c r="C49" s="16">
        <v>58849</v>
      </c>
      <c r="D49" s="16">
        <v>66283</v>
      </c>
      <c r="E49" s="16">
        <v>64254</v>
      </c>
      <c r="F49" s="16">
        <v>69416</v>
      </c>
      <c r="G49" s="16">
        <v>82798</v>
      </c>
    </row>
    <row r="50" spans="2:7" collapsed="1" x14ac:dyDescent="0.2">
      <c r="B50" s="3"/>
      <c r="C50" s="3"/>
      <c r="D50" s="3"/>
      <c r="E50" s="3"/>
      <c r="F50" s="3"/>
      <c r="G50" s="3"/>
    </row>
    <row r="51" spans="2:7" hidden="1" outlineLevel="1" x14ac:dyDescent="0.2">
      <c r="B51" s="6" t="s">
        <v>15</v>
      </c>
      <c r="C51" s="3"/>
      <c r="D51" s="3"/>
      <c r="E51" s="3"/>
      <c r="F51" s="3"/>
      <c r="G51" s="3"/>
    </row>
    <row r="52" spans="2:7" hidden="1" outlineLevel="1" x14ac:dyDescent="0.2">
      <c r="B52" s="3" t="s">
        <v>63</v>
      </c>
      <c r="C52" s="7">
        <v>1118.623738</v>
      </c>
      <c r="D52" s="7">
        <v>1087.168584</v>
      </c>
      <c r="E52" s="7">
        <v>1098.0344709999999</v>
      </c>
      <c r="F52" s="7">
        <v>1108.7426820000001</v>
      </c>
      <c r="G52" s="7">
        <v>1122.4660349999999</v>
      </c>
    </row>
    <row r="53" spans="2:7" hidden="1" outlineLevel="1" x14ac:dyDescent="0.2">
      <c r="B53" s="3" t="s">
        <v>64</v>
      </c>
      <c r="C53" s="7">
        <v>1119</v>
      </c>
      <c r="D53" s="7">
        <v>1094</v>
      </c>
      <c r="E53" s="7">
        <v>1098</v>
      </c>
      <c r="F53" s="7">
        <v>1109</v>
      </c>
      <c r="G53" s="7">
        <v>1122</v>
      </c>
    </row>
    <row r="54" spans="2:7" hidden="1" outlineLevel="1" x14ac:dyDescent="0.2">
      <c r="B54" s="3" t="s">
        <v>65</v>
      </c>
      <c r="C54" s="10">
        <v>39.26</v>
      </c>
      <c r="D54" s="10">
        <v>45.62</v>
      </c>
      <c r="E54" s="10">
        <v>40.18</v>
      </c>
      <c r="F54" s="10">
        <v>40.700000000000003</v>
      </c>
      <c r="G54" s="10">
        <v>48.28</v>
      </c>
    </row>
    <row r="55" spans="2:7" hidden="1" outlineLevel="1" x14ac:dyDescent="0.2">
      <c r="B55" s="3" t="s">
        <v>66</v>
      </c>
      <c r="C55" s="7">
        <v>42356</v>
      </c>
      <c r="D55" s="7">
        <v>48258</v>
      </c>
      <c r="E55" s="7">
        <v>42566</v>
      </c>
      <c r="F55" s="7">
        <v>43565</v>
      </c>
      <c r="G55" s="7">
        <v>52562</v>
      </c>
    </row>
    <row r="56" spans="2:7" hidden="1" outlineLevel="1" x14ac:dyDescent="0.2">
      <c r="B56" s="3" t="s">
        <v>67</v>
      </c>
      <c r="C56" s="10">
        <v>37.85</v>
      </c>
      <c r="D56" s="10">
        <v>44.11</v>
      </c>
      <c r="E56" s="10">
        <v>38.770000000000003</v>
      </c>
      <c r="F56" s="10">
        <v>39.28</v>
      </c>
      <c r="G56" s="10">
        <v>46.85</v>
      </c>
    </row>
    <row r="57" spans="2:7" hidden="1" outlineLevel="1" x14ac:dyDescent="0.2">
      <c r="B57" s="3" t="s">
        <v>68</v>
      </c>
      <c r="C57" s="7">
        <v>7335</v>
      </c>
      <c r="D57" s="7">
        <v>7576</v>
      </c>
      <c r="E57" s="7">
        <v>13999</v>
      </c>
      <c r="F57" s="7">
        <v>14078</v>
      </c>
      <c r="G57" s="7">
        <v>15352</v>
      </c>
    </row>
    <row r="58" spans="2:7" hidden="1" outlineLevel="1" x14ac:dyDescent="0.2">
      <c r="B58" s="3" t="s">
        <v>69</v>
      </c>
      <c r="C58" s="7">
        <v>-3063</v>
      </c>
      <c r="D58" s="7">
        <v>-3402</v>
      </c>
      <c r="E58" s="7">
        <v>3561</v>
      </c>
      <c r="F58" s="7">
        <v>4926</v>
      </c>
      <c r="G58" s="7">
        <v>3416</v>
      </c>
    </row>
    <row r="59" spans="2:7" hidden="1" outlineLevel="1" x14ac:dyDescent="0.2">
      <c r="B59" s="3" t="s">
        <v>70</v>
      </c>
      <c r="C59" s="7">
        <v>-34</v>
      </c>
      <c r="D59" s="7">
        <v>-35</v>
      </c>
      <c r="E59" s="7">
        <v>-57</v>
      </c>
      <c r="F59" s="7">
        <v>-70</v>
      </c>
      <c r="G59" s="7">
        <v>-79</v>
      </c>
    </row>
    <row r="60" spans="2:7" hidden="1" outlineLevel="1" x14ac:dyDescent="0.2">
      <c r="B60" s="3" t="s">
        <v>71</v>
      </c>
      <c r="C60" s="7">
        <v>864</v>
      </c>
      <c r="D60" s="7">
        <v>1000</v>
      </c>
      <c r="E60" s="7">
        <v>1096</v>
      </c>
      <c r="F60" s="7">
        <v>1120</v>
      </c>
      <c r="G60" s="7">
        <v>1224</v>
      </c>
    </row>
    <row r="61" spans="2:7" hidden="1" outlineLevel="1" x14ac:dyDescent="0.2">
      <c r="B61" s="3" t="s">
        <v>72</v>
      </c>
      <c r="C61" s="11" t="s">
        <v>73</v>
      </c>
      <c r="D61" s="11" t="s">
        <v>74</v>
      </c>
      <c r="E61" s="11" t="s">
        <v>74</v>
      </c>
      <c r="F61" s="11" t="s">
        <v>74</v>
      </c>
      <c r="G61" s="11" t="s">
        <v>74</v>
      </c>
    </row>
    <row r="62" spans="2:7" hidden="1" outlineLevel="1" x14ac:dyDescent="0.2">
      <c r="B62" s="3" t="s">
        <v>75</v>
      </c>
      <c r="C62" s="7">
        <v>505</v>
      </c>
      <c r="D62" s="7">
        <v>805</v>
      </c>
      <c r="E62" s="7">
        <v>660</v>
      </c>
      <c r="F62" s="7">
        <v>793</v>
      </c>
      <c r="G62" s="7">
        <v>860</v>
      </c>
    </row>
    <row r="63" spans="2:7" hidden="1" outlineLevel="1" x14ac:dyDescent="0.2">
      <c r="B63" s="3" t="s">
        <v>76</v>
      </c>
      <c r="C63" s="7">
        <v>3469</v>
      </c>
      <c r="D63" s="7">
        <v>4830</v>
      </c>
      <c r="E63" s="7">
        <v>6111</v>
      </c>
      <c r="F63" s="7">
        <v>6774</v>
      </c>
      <c r="G63" s="7">
        <v>6401</v>
      </c>
    </row>
    <row r="64" spans="2:7" hidden="1" outlineLevel="1" x14ac:dyDescent="0.2">
      <c r="B64" s="3" t="s">
        <v>77</v>
      </c>
      <c r="C64" s="7">
        <v>513</v>
      </c>
      <c r="D64" s="7">
        <v>1028</v>
      </c>
      <c r="E64" s="7">
        <v>1616</v>
      </c>
      <c r="F64" s="7">
        <v>1308</v>
      </c>
      <c r="G64" s="7">
        <v>1094</v>
      </c>
    </row>
    <row r="65" spans="2:12" hidden="1" outlineLevel="1" x14ac:dyDescent="0.2">
      <c r="B65" s="3" t="s">
        <v>78</v>
      </c>
      <c r="C65" s="7">
        <v>280</v>
      </c>
      <c r="D65" s="7">
        <v>280</v>
      </c>
      <c r="E65" s="7">
        <v>283</v>
      </c>
      <c r="F65" s="7">
        <v>284</v>
      </c>
      <c r="G65" s="7">
        <v>420</v>
      </c>
    </row>
    <row r="66" spans="2:12" hidden="1" outlineLevel="1" x14ac:dyDescent="0.2">
      <c r="B66" s="3" t="s">
        <v>79</v>
      </c>
      <c r="C66" s="7">
        <v>14776</v>
      </c>
      <c r="D66" s="7">
        <v>16676</v>
      </c>
      <c r="E66" s="7">
        <v>17967</v>
      </c>
      <c r="F66" s="7">
        <v>20141</v>
      </c>
      <c r="G66" s="7">
        <v>22173</v>
      </c>
    </row>
    <row r="67" spans="2:12" hidden="1" outlineLevel="1" x14ac:dyDescent="0.2">
      <c r="B67" s="3" t="s">
        <v>80</v>
      </c>
      <c r="C67" s="7">
        <v>51902</v>
      </c>
      <c r="D67" s="7">
        <v>61354</v>
      </c>
      <c r="E67" s="7">
        <v>65555</v>
      </c>
      <c r="F67" s="7">
        <v>70813</v>
      </c>
      <c r="G67" s="7">
        <v>79934</v>
      </c>
    </row>
    <row r="68" spans="2:12" hidden="1" outlineLevel="1" x14ac:dyDescent="0.2">
      <c r="B68" s="3" t="s">
        <v>81</v>
      </c>
      <c r="C68" s="7">
        <v>1517</v>
      </c>
      <c r="D68" s="7">
        <v>1897</v>
      </c>
      <c r="E68" s="7">
        <v>2464</v>
      </c>
      <c r="F68" s="7">
        <v>3444</v>
      </c>
      <c r="G68" s="7">
        <v>5518</v>
      </c>
    </row>
    <row r="69" spans="2:12" hidden="1" outlineLevel="1" x14ac:dyDescent="0.2">
      <c r="B69" s="3" t="s">
        <v>82</v>
      </c>
      <c r="C69" s="17">
        <v>43000</v>
      </c>
      <c r="D69" s="17">
        <v>48000</v>
      </c>
      <c r="E69" s="17">
        <v>43000</v>
      </c>
      <c r="F69" s="17">
        <v>48000</v>
      </c>
      <c r="G69" s="17">
        <v>53000</v>
      </c>
    </row>
    <row r="70" spans="2:12" hidden="1" outlineLevel="1" x14ac:dyDescent="0.2">
      <c r="B70" s="3" t="s">
        <v>17</v>
      </c>
      <c r="C70" s="12">
        <v>45205</v>
      </c>
      <c r="D70" s="12">
        <v>45569</v>
      </c>
      <c r="E70" s="12">
        <v>45933</v>
      </c>
      <c r="F70" s="12">
        <v>45933</v>
      </c>
      <c r="G70" s="12">
        <v>45933</v>
      </c>
    </row>
    <row r="71" spans="2:12" hidden="1" outlineLevel="1" x14ac:dyDescent="0.2">
      <c r="B71" s="3" t="s">
        <v>18</v>
      </c>
      <c r="C71" s="11" t="s">
        <v>19</v>
      </c>
      <c r="D71" s="11" t="s">
        <v>19</v>
      </c>
      <c r="E71" s="11" t="s">
        <v>19</v>
      </c>
      <c r="F71" s="11" t="s">
        <v>19</v>
      </c>
      <c r="G71" s="11" t="s">
        <v>20</v>
      </c>
    </row>
    <row r="72" spans="2:12" hidden="1" outlineLevel="1" x14ac:dyDescent="0.2">
      <c r="B72" s="3" t="s">
        <v>21</v>
      </c>
      <c r="C72" s="11" t="s">
        <v>83</v>
      </c>
      <c r="D72" s="11" t="s">
        <v>83</v>
      </c>
      <c r="E72" s="11" t="s">
        <v>83</v>
      </c>
      <c r="F72" s="11" t="s">
        <v>22</v>
      </c>
      <c r="G72" s="11" t="s">
        <v>22</v>
      </c>
    </row>
    <row r="73" spans="2:12" hidden="1" outlineLevel="1" x14ac:dyDescent="0.2">
      <c r="B73" s="3"/>
      <c r="C73" s="3"/>
      <c r="D73" s="3"/>
      <c r="E73" s="3"/>
      <c r="F73" s="3"/>
      <c r="G73" s="3"/>
    </row>
    <row r="74" spans="2:12" hidden="1" outlineLevel="1" x14ac:dyDescent="0.2">
      <c r="B74" s="13"/>
      <c r="C74" s="13"/>
      <c r="D74" s="13"/>
      <c r="E74" s="13"/>
      <c r="F74" s="13"/>
      <c r="G74" s="13"/>
    </row>
    <row r="75" spans="2:12" hidden="1" outlineLevel="1" x14ac:dyDescent="0.2">
      <c r="B75" s="1" t="s">
        <v>84</v>
      </c>
    </row>
    <row r="76" spans="2:12" x14ac:dyDescent="0.2">
      <c r="B76" s="14" t="s">
        <v>23</v>
      </c>
    </row>
    <row r="77" spans="2:12" x14ac:dyDescent="0.2">
      <c r="B77" s="47" t="s">
        <v>162</v>
      </c>
      <c r="C77" s="47"/>
      <c r="D77" s="47"/>
      <c r="E77" s="47"/>
      <c r="F77" s="47"/>
      <c r="G77" s="47"/>
      <c r="H77" s="47"/>
      <c r="I77" s="47"/>
      <c r="J77" s="47"/>
      <c r="K77" s="47"/>
      <c r="L77" s="47"/>
    </row>
    <row r="78" spans="2:12" ht="20.399999999999999" x14ac:dyDescent="0.2">
      <c r="B78" s="48" t="s">
        <v>1</v>
      </c>
      <c r="C78" s="49" t="s">
        <v>134</v>
      </c>
      <c r="D78" s="49" t="s">
        <v>133</v>
      </c>
      <c r="E78" s="49" t="s">
        <v>132</v>
      </c>
      <c r="F78" s="49" t="s">
        <v>131</v>
      </c>
      <c r="G78" s="49" t="s">
        <v>125</v>
      </c>
      <c r="H78" s="49" t="s">
        <v>126</v>
      </c>
      <c r="I78" s="49" t="s">
        <v>127</v>
      </c>
      <c r="J78" s="49" t="s">
        <v>128</v>
      </c>
      <c r="K78" s="49" t="s">
        <v>129</v>
      </c>
      <c r="L78" s="49" t="s">
        <v>130</v>
      </c>
    </row>
    <row r="79" spans="2:12" x14ac:dyDescent="0.2">
      <c r="B79" s="1" t="s">
        <v>153</v>
      </c>
      <c r="C79" s="18">
        <f>C8</f>
        <v>4920</v>
      </c>
      <c r="D79" s="18">
        <f t="shared" ref="D79:G79" si="1">D8</f>
        <v>4765</v>
      </c>
      <c r="E79" s="18">
        <f t="shared" si="1"/>
        <v>2048</v>
      </c>
      <c r="F79" s="18">
        <f t="shared" si="1"/>
        <v>5419</v>
      </c>
      <c r="G79" s="18">
        <f t="shared" si="1"/>
        <v>7163</v>
      </c>
      <c r="H79" s="57"/>
      <c r="I79" s="57"/>
      <c r="J79" s="57"/>
      <c r="K79" s="57"/>
      <c r="L79" s="57"/>
    </row>
    <row r="80" spans="2:12" x14ac:dyDescent="0.2">
      <c r="B80" s="1" t="s">
        <v>154</v>
      </c>
      <c r="C80" s="42">
        <f>C10</f>
        <v>4487</v>
      </c>
      <c r="D80" s="42">
        <f t="shared" ref="D80:G80" si="2">D10</f>
        <v>6663</v>
      </c>
      <c r="E80" s="42">
        <f t="shared" si="2"/>
        <v>8387</v>
      </c>
      <c r="F80" s="42">
        <f t="shared" si="2"/>
        <v>8875</v>
      </c>
      <c r="G80" s="42">
        <f t="shared" si="2"/>
        <v>8355</v>
      </c>
      <c r="H80" s="57"/>
      <c r="I80" s="57"/>
      <c r="J80" s="57"/>
      <c r="K80" s="57"/>
      <c r="L80" s="57"/>
    </row>
    <row r="81" spans="2:12" x14ac:dyDescent="0.2">
      <c r="B81" s="1" t="s">
        <v>32</v>
      </c>
      <c r="C81" s="42">
        <f>C11</f>
        <v>1476</v>
      </c>
      <c r="D81" s="42">
        <f t="shared" ref="D81:G81" si="3">D11</f>
        <v>657</v>
      </c>
      <c r="E81" s="42">
        <f t="shared" si="3"/>
        <v>820</v>
      </c>
      <c r="F81" s="42">
        <f t="shared" si="3"/>
        <v>776</v>
      </c>
      <c r="G81" s="42">
        <f t="shared" si="3"/>
        <v>914</v>
      </c>
      <c r="H81" s="57"/>
      <c r="I81" s="57"/>
      <c r="J81" s="57"/>
      <c r="K81" s="57"/>
      <c r="L81" s="57"/>
    </row>
    <row r="82" spans="2:12" x14ac:dyDescent="0.2">
      <c r="B82" s="1" t="s">
        <v>155</v>
      </c>
      <c r="C82" s="42">
        <f>C24</f>
        <v>1744</v>
      </c>
      <c r="D82" s="42">
        <f t="shared" ref="D82:G82" si="4">D24</f>
        <v>2142</v>
      </c>
      <c r="E82" s="42">
        <f t="shared" si="4"/>
        <v>1725</v>
      </c>
      <c r="F82" s="42">
        <f t="shared" si="4"/>
        <v>2726</v>
      </c>
      <c r="G82" s="42">
        <f t="shared" si="4"/>
        <v>3132</v>
      </c>
      <c r="H82" s="57"/>
      <c r="I82" s="57"/>
      <c r="J82" s="57"/>
      <c r="K82" s="57"/>
      <c r="L82" s="57"/>
    </row>
    <row r="83" spans="2:12" x14ac:dyDescent="0.2">
      <c r="B83" s="1" t="s">
        <v>158</v>
      </c>
      <c r="C83" s="42">
        <f>C25</f>
        <v>984</v>
      </c>
      <c r="D83" s="42">
        <f t="shared" ref="D83:G83" si="5">D25</f>
        <v>877</v>
      </c>
      <c r="E83" s="42">
        <f t="shared" si="5"/>
        <v>367</v>
      </c>
      <c r="F83" s="42">
        <f t="shared" si="5"/>
        <v>1117</v>
      </c>
      <c r="G83" s="42">
        <f t="shared" si="5"/>
        <v>1116</v>
      </c>
      <c r="H83" s="57"/>
      <c r="I83" s="57"/>
      <c r="J83" s="57"/>
      <c r="K83" s="57"/>
      <c r="L83" s="57"/>
    </row>
    <row r="84" spans="2:12" x14ac:dyDescent="0.2">
      <c r="B84" s="1" t="s">
        <v>159</v>
      </c>
      <c r="C84" s="51" t="str">
        <f>C29</f>
        <v>-</v>
      </c>
      <c r="D84" s="51" t="str">
        <f t="shared" ref="D84:G84" si="6">D29</f>
        <v>-</v>
      </c>
      <c r="E84" s="51" t="str">
        <f t="shared" si="6"/>
        <v>-</v>
      </c>
      <c r="F84" s="51">
        <f t="shared" si="6"/>
        <v>766</v>
      </c>
      <c r="G84" s="51">
        <f t="shared" si="6"/>
        <v>26</v>
      </c>
      <c r="H84" s="57"/>
      <c r="I84" s="57"/>
      <c r="J84" s="57"/>
      <c r="K84" s="57"/>
      <c r="L84" s="57"/>
    </row>
    <row r="85" spans="2:12" ht="10.8" thickBot="1" x14ac:dyDescent="0.25">
      <c r="B85" s="50" t="s">
        <v>156</v>
      </c>
      <c r="C85" s="52">
        <f>C30</f>
        <v>3122</v>
      </c>
      <c r="D85" s="52">
        <f t="shared" ref="D85:G85" si="7">D30</f>
        <v>3937</v>
      </c>
      <c r="E85" s="52">
        <f t="shared" si="7"/>
        <v>2262</v>
      </c>
      <c r="F85" s="52">
        <f t="shared" si="7"/>
        <v>3919</v>
      </c>
      <c r="G85" s="52">
        <f t="shared" si="7"/>
        <v>5918</v>
      </c>
      <c r="H85" s="58"/>
      <c r="I85" s="58"/>
      <c r="J85" s="58"/>
      <c r="K85" s="58"/>
      <c r="L85" s="58"/>
    </row>
    <row r="86" spans="2:12" x14ac:dyDescent="0.2">
      <c r="B86" s="2" t="s">
        <v>157</v>
      </c>
      <c r="C86" s="53">
        <f t="shared" ref="C86:F86" si="8">SUM(C79:C81)-SUM(C82:C85)</f>
        <v>5033</v>
      </c>
      <c r="D86" s="53">
        <f t="shared" si="8"/>
        <v>5129</v>
      </c>
      <c r="E86" s="53">
        <f t="shared" si="8"/>
        <v>6901</v>
      </c>
      <c r="F86" s="53">
        <f t="shared" si="8"/>
        <v>6542</v>
      </c>
      <c r="G86" s="53">
        <f>SUM(G79:G81)-SUM(G82:G85)</f>
        <v>6240</v>
      </c>
      <c r="H86" s="53">
        <f>$C$90*'IS Projections'!H6</f>
        <v>8900.7438834421519</v>
      </c>
      <c r="I86" s="53">
        <f>$C$90*'IS Projections'!I6</f>
        <v>12710.357445758331</v>
      </c>
      <c r="J86" s="53">
        <f>$C$90*'IS Projections'!J6</f>
        <v>16192.980108894621</v>
      </c>
      <c r="K86" s="53">
        <f>$C$90*'IS Projections'!K6</f>
        <v>18848.696276771796</v>
      </c>
      <c r="L86" s="53">
        <f>$C$90*'IS Projections'!L6</f>
        <v>20167.430835009509</v>
      </c>
    </row>
    <row r="87" spans="2:12" x14ac:dyDescent="0.2">
      <c r="B87" s="54" t="s">
        <v>160</v>
      </c>
      <c r="C87" s="19">
        <f>C86/'IS Projections'!C6</f>
        <v>0.1816639595740841</v>
      </c>
      <c r="D87" s="19">
        <f>D86/'IS Projections'!D6</f>
        <v>0.16675336497821705</v>
      </c>
      <c r="E87" s="19">
        <f>E86/'IS Projections'!E6</f>
        <v>0.44407979407979409</v>
      </c>
      <c r="F87" s="19">
        <f>F86/'IS Projections'!F6</f>
        <v>0.26052327665166658</v>
      </c>
      <c r="G87" s="19">
        <f>G86/'IS Projections'!G6</f>
        <v>0.1669431216223447</v>
      </c>
      <c r="H87" s="59">
        <v>0.17178681539154861</v>
      </c>
      <c r="I87" s="59">
        <v>0.17178681539154861</v>
      </c>
      <c r="J87" s="59">
        <v>0.17178681539154861</v>
      </c>
      <c r="K87" s="59">
        <v>0.17178681539154861</v>
      </c>
      <c r="L87" s="59">
        <v>0.17178681539154861</v>
      </c>
    </row>
    <row r="89" spans="2:12" x14ac:dyDescent="0.2">
      <c r="C89" s="55" t="s">
        <v>161</v>
      </c>
    </row>
    <row r="90" spans="2:12" x14ac:dyDescent="0.2">
      <c r="C90" s="56">
        <f>AVERAGE(G87,C87:D87)</f>
        <v>0.17178681539154861</v>
      </c>
    </row>
  </sheetData>
  <pageMargins left="0.2" right="0.2" top="0.5" bottom="0.5" header="0.5" footer="0.5"/>
  <pageSetup fitToWidth="0" fitToHeight="0" orientation="landscape" horizontalDpi="0" verticalDpi="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42D73-FE31-4803-973F-FFA19B599BDF}">
  <sheetPr>
    <outlinePr summaryBelow="0" summaryRight="0"/>
    <pageSetUpPr autoPageBreaks="0"/>
  </sheetPr>
  <dimension ref="A1:IU62"/>
  <sheetViews>
    <sheetView workbookViewId="0"/>
  </sheetViews>
  <sheetFormatPr defaultColWidth="11.5546875" defaultRowHeight="10.199999999999999" outlineLevelRow="1" x14ac:dyDescent="0.2"/>
  <cols>
    <col min="1" max="1" width="11.5546875" style="1"/>
    <col min="2" max="2" width="45.77734375" style="1" customWidth="1"/>
    <col min="3" max="7" width="14.77734375" style="1" customWidth="1"/>
    <col min="8" max="257" width="8.77734375" style="1" customWidth="1"/>
    <col min="258" max="16384" width="11.5546875" style="1"/>
  </cols>
  <sheetData>
    <row r="1" spans="1:255" x14ac:dyDescent="0.2">
      <c r="A1" s="116" t="s">
        <v>290</v>
      </c>
    </row>
    <row r="2" spans="1:255" x14ac:dyDescent="0.2">
      <c r="B2" s="4" t="s">
        <v>85</v>
      </c>
      <c r="C2" s="4"/>
      <c r="D2" s="4"/>
      <c r="E2" s="4"/>
      <c r="F2" s="4"/>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row>
    <row r="3" spans="1:255" ht="20.399999999999999" x14ac:dyDescent="0.2">
      <c r="B3" s="22" t="s">
        <v>1</v>
      </c>
      <c r="C3" s="23" t="s">
        <v>134</v>
      </c>
      <c r="D3" s="23" t="s">
        <v>133</v>
      </c>
      <c r="E3" s="23" t="s">
        <v>132</v>
      </c>
      <c r="F3" s="23" t="s">
        <v>131</v>
      </c>
      <c r="G3" s="23" t="s">
        <v>125</v>
      </c>
    </row>
    <row r="4" spans="1:255" x14ac:dyDescent="0.2">
      <c r="B4" s="24" t="s">
        <v>2</v>
      </c>
      <c r="C4" s="25" t="s">
        <v>3</v>
      </c>
      <c r="D4" s="25" t="s">
        <v>3</v>
      </c>
      <c r="E4" s="25" t="s">
        <v>3</v>
      </c>
      <c r="F4" s="25" t="s">
        <v>3</v>
      </c>
      <c r="G4" s="25" t="s">
        <v>3</v>
      </c>
    </row>
    <row r="5" spans="1:255" x14ac:dyDescent="0.2">
      <c r="B5" s="6" t="s">
        <v>4</v>
      </c>
      <c r="C5" s="3"/>
      <c r="D5" s="3"/>
      <c r="E5" s="3"/>
      <c r="F5" s="3"/>
      <c r="G5" s="3"/>
    </row>
    <row r="6" spans="1:255" x14ac:dyDescent="0.2">
      <c r="B6" s="3" t="s">
        <v>168</v>
      </c>
      <c r="C6" s="7">
        <v>5861</v>
      </c>
      <c r="D6" s="7">
        <v>8687</v>
      </c>
      <c r="E6" s="7">
        <v>-5833</v>
      </c>
      <c r="F6" s="7">
        <v>778</v>
      </c>
      <c r="G6" s="7">
        <v>8539</v>
      </c>
    </row>
    <row r="7" spans="1:255" x14ac:dyDescent="0.2">
      <c r="B7" s="3" t="s">
        <v>12</v>
      </c>
      <c r="C7" s="7">
        <v>6214</v>
      </c>
      <c r="D7" s="7">
        <v>7116</v>
      </c>
      <c r="E7" s="7">
        <v>7756</v>
      </c>
      <c r="F7" s="7">
        <v>7780</v>
      </c>
      <c r="G7" s="7">
        <v>8352</v>
      </c>
    </row>
    <row r="8" spans="1:255" x14ac:dyDescent="0.2">
      <c r="B8" s="3" t="s">
        <v>86</v>
      </c>
      <c r="C8" s="7">
        <v>454</v>
      </c>
      <c r="D8" s="7" t="s">
        <v>7</v>
      </c>
      <c r="E8" s="7">
        <v>101</v>
      </c>
      <c r="F8" s="7" t="s">
        <v>7</v>
      </c>
      <c r="G8" s="7" t="s">
        <v>7</v>
      </c>
    </row>
    <row r="9" spans="1:255" x14ac:dyDescent="0.2">
      <c r="B9" s="3" t="s">
        <v>87</v>
      </c>
      <c r="C9" s="7">
        <v>378</v>
      </c>
      <c r="D9" s="7">
        <v>514</v>
      </c>
      <c r="E9" s="7">
        <v>596</v>
      </c>
      <c r="F9" s="7">
        <v>833</v>
      </c>
      <c r="G9" s="7">
        <v>972</v>
      </c>
    </row>
    <row r="10" spans="1:255" x14ac:dyDescent="0.2">
      <c r="B10" s="3" t="s">
        <v>88</v>
      </c>
      <c r="C10" s="7">
        <v>-69</v>
      </c>
      <c r="D10" s="7">
        <v>119</v>
      </c>
      <c r="E10" s="7">
        <v>1850</v>
      </c>
      <c r="F10" s="7">
        <v>281</v>
      </c>
      <c r="G10" s="7">
        <v>328</v>
      </c>
    </row>
    <row r="11" spans="1:255" x14ac:dyDescent="0.2">
      <c r="B11" s="3" t="s">
        <v>89</v>
      </c>
      <c r="C11" s="7">
        <v>-1446</v>
      </c>
      <c r="D11" s="7">
        <v>190</v>
      </c>
      <c r="E11" s="7">
        <v>2763</v>
      </c>
      <c r="F11" s="7">
        <v>-3581</v>
      </c>
      <c r="G11" s="7">
        <v>-1776</v>
      </c>
    </row>
    <row r="12" spans="1:255" x14ac:dyDescent="0.2">
      <c r="B12" s="3" t="s">
        <v>90</v>
      </c>
      <c r="C12" s="7">
        <v>866</v>
      </c>
      <c r="D12" s="7">
        <v>-2179</v>
      </c>
      <c r="E12" s="7">
        <v>-3555</v>
      </c>
      <c r="F12" s="7">
        <v>-488</v>
      </c>
      <c r="G12" s="7">
        <v>520</v>
      </c>
    </row>
    <row r="13" spans="1:255" x14ac:dyDescent="0.2">
      <c r="B13" s="3" t="s">
        <v>91</v>
      </c>
      <c r="C13" s="7">
        <v>210</v>
      </c>
      <c r="D13" s="7">
        <v>334</v>
      </c>
      <c r="E13" s="7">
        <v>-1302</v>
      </c>
      <c r="F13" s="7">
        <v>1915</v>
      </c>
      <c r="G13" s="7">
        <v>862</v>
      </c>
    </row>
    <row r="14" spans="1:255" x14ac:dyDescent="0.2">
      <c r="B14" s="3" t="s">
        <v>92</v>
      </c>
      <c r="C14" s="7" t="s">
        <v>7</v>
      </c>
      <c r="D14" s="7">
        <v>400</v>
      </c>
      <c r="E14" s="7">
        <v>-817</v>
      </c>
      <c r="F14" s="7">
        <v>989</v>
      </c>
      <c r="G14" s="7">
        <v>-272</v>
      </c>
    </row>
    <row r="15" spans="1:255" x14ac:dyDescent="0.2">
      <c r="B15" s="6" t="s">
        <v>93</v>
      </c>
      <c r="C15" s="8">
        <v>12468</v>
      </c>
      <c r="D15" s="8">
        <v>15181</v>
      </c>
      <c r="E15" s="8">
        <v>1559</v>
      </c>
      <c r="F15" s="8">
        <v>8507</v>
      </c>
      <c r="G15" s="8">
        <v>17525</v>
      </c>
    </row>
    <row r="16" spans="1:255" x14ac:dyDescent="0.2">
      <c r="B16" s="3"/>
      <c r="C16" s="3"/>
      <c r="D16" s="3"/>
      <c r="E16" s="3"/>
      <c r="F16" s="3"/>
      <c r="G16" s="3"/>
    </row>
    <row r="17" spans="2:13" x14ac:dyDescent="0.2">
      <c r="B17" s="3" t="s">
        <v>94</v>
      </c>
      <c r="C17" s="7">
        <v>-10030</v>
      </c>
      <c r="D17" s="7">
        <v>-12067</v>
      </c>
      <c r="E17" s="7">
        <v>-7676</v>
      </c>
      <c r="F17" s="7">
        <v>-8386</v>
      </c>
      <c r="G17" s="7">
        <v>-15857</v>
      </c>
      <c r="I17" s="65"/>
      <c r="J17" s="65"/>
      <c r="K17" s="65"/>
      <c r="L17" s="65"/>
      <c r="M17" s="65"/>
    </row>
    <row r="18" spans="2:13" x14ac:dyDescent="0.2">
      <c r="B18" s="3" t="s">
        <v>95</v>
      </c>
      <c r="C18" s="7" t="s">
        <v>7</v>
      </c>
      <c r="D18" s="7">
        <v>888</v>
      </c>
      <c r="E18" s="7" t="s">
        <v>7</v>
      </c>
      <c r="F18" s="7" t="s">
        <v>7</v>
      </c>
      <c r="G18" s="7" t="s">
        <v>7</v>
      </c>
    </row>
    <row r="19" spans="2:13" x14ac:dyDescent="0.2">
      <c r="B19" s="3" t="s">
        <v>96</v>
      </c>
      <c r="C19" s="7" t="s">
        <v>7</v>
      </c>
      <c r="D19" s="7" t="s">
        <v>7</v>
      </c>
      <c r="E19" s="7" t="s">
        <v>7</v>
      </c>
      <c r="F19" s="7" t="s">
        <v>7</v>
      </c>
      <c r="G19" s="7" t="s">
        <v>7</v>
      </c>
    </row>
    <row r="20" spans="2:13" x14ac:dyDescent="0.2">
      <c r="B20" s="3" t="s">
        <v>97</v>
      </c>
      <c r="C20" s="7" t="s">
        <v>7</v>
      </c>
      <c r="D20" s="7" t="s">
        <v>7</v>
      </c>
      <c r="E20" s="7" t="s">
        <v>7</v>
      </c>
      <c r="F20" s="7" t="s">
        <v>7</v>
      </c>
      <c r="G20" s="7" t="s">
        <v>7</v>
      </c>
    </row>
    <row r="21" spans="2:13" x14ac:dyDescent="0.2">
      <c r="B21" s="3" t="s">
        <v>98</v>
      </c>
      <c r="C21" s="7">
        <v>-1057</v>
      </c>
      <c r="D21" s="7">
        <v>-155</v>
      </c>
      <c r="E21" s="7">
        <v>868</v>
      </c>
      <c r="F21" s="7">
        <v>-205</v>
      </c>
      <c r="G21" s="7">
        <v>-192</v>
      </c>
    </row>
    <row r="22" spans="2:13" x14ac:dyDescent="0.2">
      <c r="B22" s="3" t="s">
        <v>99</v>
      </c>
      <c r="C22" s="7" t="s">
        <v>7</v>
      </c>
      <c r="D22" s="7" t="s">
        <v>7</v>
      </c>
      <c r="E22" s="7" t="s">
        <v>7</v>
      </c>
      <c r="F22" s="7" t="s">
        <v>7</v>
      </c>
      <c r="G22" s="7" t="s">
        <v>7</v>
      </c>
    </row>
    <row r="23" spans="2:13" x14ac:dyDescent="0.2">
      <c r="B23" s="3" t="s">
        <v>100</v>
      </c>
      <c r="C23" s="7">
        <v>498</v>
      </c>
      <c r="D23" s="7">
        <v>-251</v>
      </c>
      <c r="E23" s="7">
        <v>617</v>
      </c>
      <c r="F23" s="7">
        <v>282</v>
      </c>
      <c r="G23" s="7">
        <v>1962</v>
      </c>
    </row>
    <row r="24" spans="2:13" x14ac:dyDescent="0.2">
      <c r="B24" s="6" t="s">
        <v>101</v>
      </c>
      <c r="C24" s="8">
        <v>-10589</v>
      </c>
      <c r="D24" s="8">
        <v>-11585</v>
      </c>
      <c r="E24" s="8">
        <v>-6191</v>
      </c>
      <c r="F24" s="8">
        <v>-8309</v>
      </c>
      <c r="G24" s="8">
        <v>-14087</v>
      </c>
    </row>
    <row r="25" spans="2:13" x14ac:dyDescent="0.2">
      <c r="B25" s="3"/>
      <c r="C25" s="3"/>
      <c r="D25" s="3"/>
      <c r="E25" s="3"/>
      <c r="F25" s="3"/>
      <c r="G25" s="3"/>
    </row>
    <row r="26" spans="2:13" x14ac:dyDescent="0.2">
      <c r="B26" s="3" t="s">
        <v>102</v>
      </c>
      <c r="C26" s="7" t="s">
        <v>7</v>
      </c>
      <c r="D26" s="7" t="s">
        <v>7</v>
      </c>
      <c r="E26" s="7" t="s">
        <v>7</v>
      </c>
      <c r="F26" s="7" t="s">
        <v>7</v>
      </c>
      <c r="G26" s="7" t="s">
        <v>7</v>
      </c>
    </row>
    <row r="27" spans="2:13" x14ac:dyDescent="0.2">
      <c r="B27" s="3" t="s">
        <v>103</v>
      </c>
      <c r="C27" s="7">
        <v>1188</v>
      </c>
      <c r="D27" s="7">
        <v>2000</v>
      </c>
      <c r="E27" s="7">
        <v>6716</v>
      </c>
      <c r="F27" s="7">
        <v>999</v>
      </c>
      <c r="G27" s="7">
        <v>4430</v>
      </c>
    </row>
    <row r="28" spans="2:13" x14ac:dyDescent="0.2">
      <c r="B28" s="6" t="s">
        <v>104</v>
      </c>
      <c r="C28" s="8">
        <v>1188</v>
      </c>
      <c r="D28" s="8">
        <v>2000</v>
      </c>
      <c r="E28" s="8">
        <v>6716</v>
      </c>
      <c r="F28" s="8">
        <v>999</v>
      </c>
      <c r="G28" s="8">
        <v>4430</v>
      </c>
    </row>
    <row r="29" spans="2:13" x14ac:dyDescent="0.2">
      <c r="B29" s="3" t="s">
        <v>105</v>
      </c>
      <c r="C29" s="7" t="s">
        <v>7</v>
      </c>
      <c r="D29" s="7" t="s">
        <v>7</v>
      </c>
      <c r="E29" s="7" t="s">
        <v>7</v>
      </c>
      <c r="F29" s="7" t="s">
        <v>7</v>
      </c>
      <c r="G29" s="7" t="s">
        <v>7</v>
      </c>
    </row>
    <row r="30" spans="2:13" x14ac:dyDescent="0.2">
      <c r="B30" s="3" t="s">
        <v>106</v>
      </c>
      <c r="C30" s="7">
        <v>-1520</v>
      </c>
      <c r="D30" s="7">
        <v>-2032</v>
      </c>
      <c r="E30" s="7">
        <v>-761</v>
      </c>
      <c r="F30" s="7">
        <v>-1897</v>
      </c>
      <c r="G30" s="7">
        <v>-4619</v>
      </c>
    </row>
    <row r="31" spans="2:13" x14ac:dyDescent="0.2">
      <c r="B31" s="6" t="s">
        <v>107</v>
      </c>
      <c r="C31" s="8">
        <v>-1520</v>
      </c>
      <c r="D31" s="8">
        <v>-2032</v>
      </c>
      <c r="E31" s="8">
        <v>-761</v>
      </c>
      <c r="F31" s="8">
        <v>-1897</v>
      </c>
      <c r="G31" s="8">
        <v>-4619</v>
      </c>
    </row>
    <row r="32" spans="2:13" x14ac:dyDescent="0.2">
      <c r="B32" s="3"/>
      <c r="C32" s="3"/>
      <c r="D32" s="3"/>
      <c r="E32" s="3"/>
      <c r="F32" s="3"/>
      <c r="G32" s="3"/>
    </row>
    <row r="33" spans="2:7" x14ac:dyDescent="0.2">
      <c r="B33" s="3" t="s">
        <v>108</v>
      </c>
      <c r="C33" s="7">
        <v>-1200</v>
      </c>
      <c r="D33" s="7">
        <v>-2432</v>
      </c>
      <c r="E33" s="7">
        <v>-425</v>
      </c>
      <c r="F33" s="7">
        <v>-300</v>
      </c>
      <c r="G33" s="7" t="s">
        <v>7</v>
      </c>
    </row>
    <row r="34" spans="2:7" x14ac:dyDescent="0.2">
      <c r="B34" s="3"/>
      <c r="C34" s="3"/>
      <c r="D34" s="3"/>
      <c r="E34" s="3"/>
      <c r="F34" s="3"/>
      <c r="G34" s="3"/>
    </row>
    <row r="35" spans="2:7" x14ac:dyDescent="0.2">
      <c r="B35" s="3" t="s">
        <v>109</v>
      </c>
      <c r="C35" s="7" t="s">
        <v>7</v>
      </c>
      <c r="D35" s="7">
        <v>-461</v>
      </c>
      <c r="E35" s="7">
        <v>-504</v>
      </c>
      <c r="F35" s="7">
        <v>-513</v>
      </c>
      <c r="G35" s="7">
        <v>-522</v>
      </c>
    </row>
    <row r="36" spans="2:7" x14ac:dyDescent="0.2">
      <c r="B36" s="6" t="s">
        <v>110</v>
      </c>
      <c r="C36" s="8" t="s">
        <v>7</v>
      </c>
      <c r="D36" s="8">
        <v>-461</v>
      </c>
      <c r="E36" s="8">
        <v>-504</v>
      </c>
      <c r="F36" s="8">
        <v>-513</v>
      </c>
      <c r="G36" s="8">
        <v>-522</v>
      </c>
    </row>
    <row r="37" spans="2:7" x14ac:dyDescent="0.2">
      <c r="B37" s="3"/>
      <c r="C37" s="3"/>
      <c r="D37" s="3"/>
      <c r="E37" s="3"/>
      <c r="F37" s="3"/>
      <c r="G37" s="3"/>
    </row>
    <row r="38" spans="2:7" x14ac:dyDescent="0.2">
      <c r="B38" s="3" t="s">
        <v>111</v>
      </c>
      <c r="C38" s="7" t="s">
        <v>7</v>
      </c>
      <c r="D38" s="7" t="s">
        <v>7</v>
      </c>
      <c r="E38" s="7" t="s">
        <v>7</v>
      </c>
      <c r="F38" s="7" t="s">
        <v>7</v>
      </c>
      <c r="G38" s="7" t="s">
        <v>7</v>
      </c>
    </row>
    <row r="39" spans="2:7" x14ac:dyDescent="0.2">
      <c r="B39" s="3" t="s">
        <v>112</v>
      </c>
      <c r="C39" s="7">
        <v>-249</v>
      </c>
      <c r="D39" s="7">
        <v>-55</v>
      </c>
      <c r="E39" s="7">
        <v>-43</v>
      </c>
      <c r="F39" s="7">
        <v>-131</v>
      </c>
      <c r="G39" s="7">
        <v>-139</v>
      </c>
    </row>
    <row r="40" spans="2:7" x14ac:dyDescent="0.2">
      <c r="B40" s="6" t="s">
        <v>113</v>
      </c>
      <c r="C40" s="8">
        <v>-1781</v>
      </c>
      <c r="D40" s="8">
        <v>-2980</v>
      </c>
      <c r="E40" s="8">
        <v>4983</v>
      </c>
      <c r="F40" s="8">
        <v>-1842</v>
      </c>
      <c r="G40" s="8">
        <v>-850</v>
      </c>
    </row>
    <row r="41" spans="2:7" x14ac:dyDescent="0.2">
      <c r="B41" s="3"/>
      <c r="C41" s="3"/>
      <c r="D41" s="3"/>
      <c r="E41" s="3"/>
      <c r="F41" s="3"/>
      <c r="G41" s="3"/>
    </row>
    <row r="42" spans="2:7" x14ac:dyDescent="0.2">
      <c r="B42" s="3" t="s">
        <v>114</v>
      </c>
      <c r="C42" s="7">
        <v>41</v>
      </c>
      <c r="D42" s="7">
        <v>-106</v>
      </c>
      <c r="E42" s="7">
        <v>-34</v>
      </c>
      <c r="F42" s="7">
        <v>40</v>
      </c>
      <c r="G42" s="7">
        <v>6</v>
      </c>
    </row>
    <row r="43" spans="2:7" collapsed="1" x14ac:dyDescent="0.2">
      <c r="B43" s="6" t="s">
        <v>115</v>
      </c>
      <c r="C43" s="9">
        <v>139</v>
      </c>
      <c r="D43" s="9">
        <v>510</v>
      </c>
      <c r="E43" s="9">
        <v>317</v>
      </c>
      <c r="F43" s="9">
        <v>-1604</v>
      </c>
      <c r="G43" s="9">
        <v>2594</v>
      </c>
    </row>
    <row r="44" spans="2:7" hidden="1" outlineLevel="1" x14ac:dyDescent="0.2">
      <c r="B44" s="3"/>
      <c r="C44" s="3"/>
      <c r="D44" s="3"/>
      <c r="E44" s="3"/>
      <c r="F44" s="3"/>
      <c r="G44" s="3"/>
    </row>
    <row r="45" spans="2:7" hidden="1" outlineLevel="1" x14ac:dyDescent="0.2">
      <c r="B45" s="6" t="s">
        <v>15</v>
      </c>
      <c r="C45" s="3"/>
      <c r="D45" s="3"/>
      <c r="E45" s="3"/>
      <c r="F45" s="3"/>
      <c r="G45" s="3"/>
    </row>
    <row r="46" spans="2:7" hidden="1" outlineLevel="1" x14ac:dyDescent="0.2">
      <c r="B46" s="3" t="s">
        <v>116</v>
      </c>
      <c r="C46" s="7">
        <v>171</v>
      </c>
      <c r="D46" s="7">
        <v>154</v>
      </c>
      <c r="E46" s="7">
        <v>323</v>
      </c>
      <c r="F46" s="7">
        <v>503</v>
      </c>
      <c r="G46" s="7">
        <v>418</v>
      </c>
    </row>
    <row r="47" spans="2:7" hidden="1" outlineLevel="1" x14ac:dyDescent="0.2">
      <c r="B47" s="3" t="s">
        <v>117</v>
      </c>
      <c r="C47" s="7">
        <v>361</v>
      </c>
      <c r="D47" s="7">
        <v>493</v>
      </c>
      <c r="E47" s="7">
        <v>532</v>
      </c>
      <c r="F47" s="7">
        <v>338</v>
      </c>
      <c r="G47" s="7">
        <v>583</v>
      </c>
    </row>
    <row r="48" spans="2:7" hidden="1" outlineLevel="1" x14ac:dyDescent="0.2">
      <c r="B48" s="3" t="s">
        <v>118</v>
      </c>
      <c r="C48" s="7">
        <v>-835.9</v>
      </c>
      <c r="D48" s="7">
        <v>1499</v>
      </c>
      <c r="E48" s="7">
        <v>-3955.3</v>
      </c>
      <c r="F48" s="7">
        <v>400.375</v>
      </c>
      <c r="G48" s="7">
        <v>-891.5</v>
      </c>
    </row>
    <row r="49" spans="2:12" hidden="1" outlineLevel="1" x14ac:dyDescent="0.2">
      <c r="B49" s="3" t="s">
        <v>119</v>
      </c>
      <c r="C49" s="7">
        <v>-721.5</v>
      </c>
      <c r="D49" s="7">
        <v>1617.125</v>
      </c>
      <c r="E49" s="7">
        <v>-3712.8</v>
      </c>
      <c r="F49" s="7">
        <v>751.625</v>
      </c>
      <c r="G49" s="7">
        <v>-593.4</v>
      </c>
    </row>
    <row r="50" spans="2:12" hidden="1" outlineLevel="1" x14ac:dyDescent="0.2">
      <c r="B50" s="3" t="s">
        <v>120</v>
      </c>
      <c r="C50" s="7">
        <v>1548</v>
      </c>
      <c r="D50" s="7">
        <v>14</v>
      </c>
      <c r="E50" s="7">
        <v>2155</v>
      </c>
      <c r="F50" s="7">
        <v>291</v>
      </c>
      <c r="G50" s="7">
        <v>194</v>
      </c>
    </row>
    <row r="51" spans="2:12" hidden="1" outlineLevel="1" x14ac:dyDescent="0.2">
      <c r="B51" s="3" t="s">
        <v>121</v>
      </c>
      <c r="C51" s="7">
        <v>-332</v>
      </c>
      <c r="D51" s="7">
        <v>-32</v>
      </c>
      <c r="E51" s="7">
        <v>5955</v>
      </c>
      <c r="F51" s="7">
        <v>-898</v>
      </c>
      <c r="G51" s="7">
        <v>-189</v>
      </c>
    </row>
    <row r="52" spans="2:12" hidden="1" outlineLevel="1" x14ac:dyDescent="0.2">
      <c r="B52" s="3" t="s">
        <v>17</v>
      </c>
      <c r="C52" s="12">
        <v>45205</v>
      </c>
      <c r="D52" s="12">
        <v>45569</v>
      </c>
      <c r="E52" s="12">
        <v>45933</v>
      </c>
      <c r="F52" s="12">
        <v>45933</v>
      </c>
      <c r="G52" s="12">
        <v>45933</v>
      </c>
    </row>
    <row r="53" spans="2:12" hidden="1" outlineLevel="1" x14ac:dyDescent="0.2">
      <c r="B53" s="3" t="s">
        <v>18</v>
      </c>
      <c r="C53" s="11" t="s">
        <v>19</v>
      </c>
      <c r="D53" s="11" t="s">
        <v>19</v>
      </c>
      <c r="E53" s="11" t="s">
        <v>19</v>
      </c>
      <c r="F53" s="11" t="s">
        <v>19</v>
      </c>
      <c r="G53" s="11" t="s">
        <v>20</v>
      </c>
    </row>
    <row r="54" spans="2:12" hidden="1" outlineLevel="1" x14ac:dyDescent="0.2">
      <c r="B54" s="3" t="s">
        <v>21</v>
      </c>
      <c r="C54" s="11" t="s">
        <v>22</v>
      </c>
      <c r="D54" s="11" t="s">
        <v>22</v>
      </c>
      <c r="E54" s="11" t="s">
        <v>22</v>
      </c>
      <c r="F54" s="11" t="s">
        <v>22</v>
      </c>
      <c r="G54" s="11" t="s">
        <v>22</v>
      </c>
    </row>
    <row r="55" spans="2:12" x14ac:dyDescent="0.2">
      <c r="B55" s="3"/>
      <c r="C55" s="3"/>
      <c r="D55" s="3"/>
      <c r="E55" s="3"/>
      <c r="F55" s="3"/>
      <c r="G55" s="3"/>
    </row>
    <row r="56" spans="2:12" x14ac:dyDescent="0.2">
      <c r="B56" s="3"/>
      <c r="C56" s="3"/>
      <c r="D56" s="3"/>
      <c r="E56" s="3"/>
      <c r="F56" s="3"/>
      <c r="G56" s="3"/>
    </row>
    <row r="57" spans="2:12" x14ac:dyDescent="0.2">
      <c r="B57" s="47" t="s">
        <v>175</v>
      </c>
      <c r="C57" s="47"/>
      <c r="D57" s="47"/>
      <c r="E57" s="47"/>
      <c r="F57" s="47"/>
      <c r="G57" s="47"/>
      <c r="H57" s="47"/>
      <c r="I57" s="47"/>
      <c r="J57" s="47"/>
      <c r="K57" s="47"/>
      <c r="L57" s="47"/>
    </row>
    <row r="58" spans="2:12" ht="20.399999999999999" x14ac:dyDescent="0.2">
      <c r="B58" s="48" t="s">
        <v>1</v>
      </c>
      <c r="C58" s="49" t="s">
        <v>134</v>
      </c>
      <c r="D58" s="49" t="s">
        <v>133</v>
      </c>
      <c r="E58" s="49" t="s">
        <v>132</v>
      </c>
      <c r="F58" s="49" t="s">
        <v>131</v>
      </c>
      <c r="G58" s="49" t="s">
        <v>125</v>
      </c>
      <c r="H58" s="49" t="s">
        <v>126</v>
      </c>
      <c r="I58" s="49" t="s">
        <v>127</v>
      </c>
      <c r="J58" s="49" t="s">
        <v>128</v>
      </c>
      <c r="K58" s="49" t="s">
        <v>129</v>
      </c>
      <c r="L58" s="49" t="s">
        <v>130</v>
      </c>
    </row>
    <row r="59" spans="2:12" ht="15.6" x14ac:dyDescent="0.3">
      <c r="B59" s="33" t="s">
        <v>180</v>
      </c>
      <c r="C59" s="39">
        <f>C7/'Balance Sheet'!C15</f>
        <v>0.1870954144461506</v>
      </c>
      <c r="D59" s="39">
        <f>D7/'Balance Sheet'!D15</f>
        <v>0.1845962281771252</v>
      </c>
      <c r="E59" s="39">
        <f>E7/'Balance Sheet'!E15</f>
        <v>0.20449272305420799</v>
      </c>
      <c r="F59" s="39">
        <f>F7/'Balance Sheet'!F15</f>
        <v>0.1957281944199854</v>
      </c>
      <c r="G59" s="68">
        <v>0.17926593689632969</v>
      </c>
      <c r="H59" s="36">
        <v>0.19023569939875978</v>
      </c>
      <c r="I59" s="36">
        <v>0.19023569939875978</v>
      </c>
      <c r="J59" s="36">
        <v>0.19023569939875978</v>
      </c>
      <c r="K59" s="36">
        <v>0.19023569939875978</v>
      </c>
      <c r="L59" s="36">
        <v>0.19023569939875978</v>
      </c>
    </row>
    <row r="60" spans="2:12" ht="15.6" x14ac:dyDescent="0.3">
      <c r="B60" s="33" t="s">
        <v>179</v>
      </c>
      <c r="C60" s="39">
        <f>-C17/'IS Projections'!C6</f>
        <v>0.36202851470853636</v>
      </c>
      <c r="D60" s="39">
        <f>-D17/'IS Projections'!D6</f>
        <v>0.39232069705442485</v>
      </c>
      <c r="E60" s="45">
        <f>-E17/'IS Projections'!E6</f>
        <v>0.49395109395109393</v>
      </c>
      <c r="F60" s="45">
        <f>-F17/'IS Projections'!F6</f>
        <v>0.33395722989924737</v>
      </c>
      <c r="G60" s="45">
        <f>-G17/'IS Projections'!G6</f>
        <v>0.42423350634062817</v>
      </c>
      <c r="H60" s="36">
        <v>0.47</v>
      </c>
      <c r="I60" s="36">
        <v>0.51</v>
      </c>
      <c r="J60" s="36">
        <v>0.42</v>
      </c>
      <c r="K60" s="36">
        <v>0.35</v>
      </c>
      <c r="L60" s="36">
        <v>0.3</v>
      </c>
    </row>
    <row r="61" spans="2:12" ht="15.6" x14ac:dyDescent="0.3">
      <c r="B61" s="33"/>
      <c r="C61" s="67"/>
      <c r="D61" s="67"/>
      <c r="E61" s="67"/>
      <c r="F61" s="67"/>
      <c r="G61" s="67"/>
      <c r="H61" s="27"/>
      <c r="I61" s="27"/>
      <c r="J61" s="27"/>
      <c r="K61" s="27"/>
      <c r="L61" s="27"/>
    </row>
    <row r="62" spans="2:12" x14ac:dyDescent="0.2">
      <c r="B62" s="54"/>
      <c r="C62" s="19"/>
      <c r="D62" s="19"/>
      <c r="E62" s="19"/>
      <c r="F62" s="19"/>
      <c r="G62" s="19"/>
      <c r="H62" s="59"/>
      <c r="I62" s="59"/>
      <c r="J62" s="59"/>
      <c r="K62" s="59"/>
      <c r="L62" s="59"/>
    </row>
  </sheetData>
  <pageMargins left="0.2" right="0.2" top="0.5" bottom="0.5" header="0.5" footer="0.5"/>
  <pageSetup fitToWidth="0" fitToHeight="0" orientation="landscape" horizontalDpi="0" verticalDpi="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IS Projections</vt:lpstr>
      <vt:lpstr>Valuation</vt:lpstr>
      <vt:lpstr>Comp Analysis</vt:lpstr>
      <vt:lpstr>Balance Sheet</vt:lpstr>
      <vt:lpstr>Cash Flow</vt:lpstr>
      <vt:lpstr>Valuation!Print_Titles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Dylan Norona</dc:creator>
  <cp:lastModifiedBy>Dylan Norona</cp:lastModifiedBy>
  <dcterms:created xsi:type="dcterms:W3CDTF">2026-04-08T22:12:49Z</dcterms:created>
  <dcterms:modified xsi:type="dcterms:W3CDTF">2026-04-22T18:09:09Z</dcterms:modified>
</cp:coreProperties>
</file>